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4gJQJzuKzx2OUHXVFY4byiU5tiP2D7jmsVr+DyYcmUMOEwBKqaMWv8o00RxKlJEflFbnKJaNo9VBgz7zuAcUNQ==" workbookSaltValue="ZXS6ntv+qZ5MzAQHW3ggV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R19" i="8"/>
  <c r="AE13" i="21"/>
  <c r="EL19" i="8"/>
  <c r="BE12" i="21"/>
  <c r="EQ19" i="8"/>
  <c r="EN19" i="8"/>
  <c r="E15" i="3"/>
  <c r="BA13" i="16"/>
  <c r="E17" i="3"/>
  <c r="F16" i="10"/>
  <c r="ES19" i="8"/>
  <c r="G18" i="12"/>
  <c r="C18" i="7"/>
  <c r="R8" i="9"/>
  <c r="AP16" i="20" s="1"/>
  <c r="F17" i="16"/>
  <c r="BL17" i="16" s="1"/>
  <c r="EP19" i="8"/>
  <c r="EP19" i="19"/>
  <c r="S13" i="16"/>
  <c r="P13" i="16"/>
  <c r="W13" i="20"/>
  <c r="T13" i="16"/>
  <c r="AY13" i="8"/>
  <c r="AP13" i="16"/>
  <c r="T18" i="17"/>
  <c r="BF15" i="13"/>
  <c r="BE16" i="13"/>
  <c r="BF16" i="13"/>
  <c r="Z20" i="20"/>
  <c r="H20" i="20"/>
  <c r="G18" i="14"/>
  <c r="AK20" i="20"/>
  <c r="T20" i="20"/>
  <c r="O16" i="11"/>
  <c r="R19" i="8" l="1"/>
  <c r="AV18" i="21"/>
  <c r="AL19" i="8"/>
  <c r="L19" i="8"/>
  <c r="AG19" i="8"/>
  <c r="BM18" i="16"/>
  <c r="W19" i="8"/>
  <c r="I19" i="8"/>
  <c r="AJ19" i="8"/>
  <c r="F13" i="7"/>
  <c r="AE13" i="17"/>
  <c r="D13" i="7"/>
  <c r="BE9" i="8"/>
  <c r="C13" i="7"/>
  <c r="E10" i="6"/>
  <c r="AL10" i="11"/>
  <c r="AO12" i="11"/>
  <c r="L11" i="14"/>
  <c r="L12" i="2"/>
  <c r="BL16" i="11"/>
  <c r="BE15" i="13"/>
  <c r="AQ12" i="21"/>
  <c r="T11" i="11"/>
  <c r="BH11" i="11"/>
  <c r="BJ10" i="11"/>
  <c r="BI9" i="11"/>
  <c r="Q17" i="17"/>
  <c r="T16" i="11"/>
  <c r="AZ12" i="11"/>
  <c r="BV9" i="16"/>
  <c r="BU17" i="17"/>
  <c r="BU9" i="17"/>
  <c r="BV15" i="16"/>
  <c r="BV16" i="16"/>
  <c r="BW9" i="20"/>
  <c r="T15" i="16"/>
  <c r="BM15" i="11"/>
  <c r="BL11" i="11"/>
  <c r="BI17" i="11"/>
  <c r="BJ11" i="11"/>
  <c r="Q10" i="21"/>
  <c r="AZ17" i="11"/>
  <c r="BK15"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Q9" i="11" s="1"/>
  <c r="BH17" i="16"/>
  <c r="BG10" i="11"/>
  <c r="BM16" i="11"/>
  <c r="P17" i="17"/>
  <c r="P18" i="17" s="1"/>
  <c r="P19" i="17"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J20" i="20"/>
  <c r="I20" i="20"/>
  <c r="U16" i="11"/>
  <c r="AX20" i="20"/>
  <c r="Y20" i="20"/>
  <c r="O10" i="11"/>
  <c r="AM20" i="20"/>
  <c r="Q20" i="20"/>
  <c r="AB20" i="20"/>
  <c r="AI20" i="20"/>
  <c r="AZ20" i="20"/>
  <c r="AV20" i="20"/>
  <c r="AU20" i="20"/>
  <c r="M20" i="20"/>
  <c r="AQ20" i="21"/>
  <c r="AP20" i="20"/>
  <c r="AH20" i="20"/>
  <c r="N20" i="20"/>
  <c r="AD20" i="20"/>
  <c r="AE20" i="20"/>
  <c r="AG20" i="20"/>
  <c r="P20" i="20"/>
  <c r="S20" i="20"/>
  <c r="U12" i="11"/>
  <c r="W20" i="21"/>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<sst xmlns="http://schemas.openxmlformats.org/spreadsheetml/2006/main" count="2080" uniqueCount="905">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</sst>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901</v>
      </c>
      <c r="C10" s="372"/>
      <c r="D10" s="372"/>
      <c r="E10" s="381"/>
      <c r="F10" s="3"/>
      <c r="Q10" s="346">
        <v>0</v>
      </c>
    </row>
    <row r="11" spans="1:19" ht="13.5" thickBot="1">
      <c r="A11" s="382" t="s">
        <v>903</v>
      </c>
      <c r="B11" s="383" t="s">
        <v>904</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ENcReE/JWyvTxpiWdYtdUUXaHS/BuJfvazpQ4TwvH0TdwkKmFGlqBJ3Mh+dwfxkEta9jnvck4a2pObVapD0g==" saltValue="+Eh0/DHvnOD6IIEQl+PH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24.737816002084962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132</v>
      </c>
      <c r="D10" s="225">
        <f>IF(ISNUMBER(Datos!I10),Datos!I10," - ")</f>
        <v>132</v>
      </c>
      <c r="E10" s="226">
        <f>IF(ISNUMBER(Datos!J10),Datos!J10," - ")</f>
        <v>50</v>
      </c>
      <c r="F10" s="226">
        <f>IF(ISNUMBER(Datos!K10),Datos!K10," - ")</f>
        <v>37</v>
      </c>
      <c r="G10" s="1034" t="str">
        <f>IF(Datos!E10&lt;&gt;"",Datos!E10,Datos!D10)</f>
        <v>37</v>
      </c>
      <c r="H10" s="227">
        <f>IF(ISNUMBER(Datos!L10),Datos!L10," - ")</f>
        <v>145</v>
      </c>
      <c r="I10" s="1044" t="str">
        <f>IF(ISNUMBER(Datos!AS10/Datos!BM10),Datos!AS10/Datos!BM10," - ")</f>
        <v xml:space="preserve"> - </v>
      </c>
      <c r="J10" s="1045">
        <f>IF(ISNUMBER(Datos!BY10/Datos!CN10),Datos!BY10/Datos!CN10," - ")</f>
        <v>0</v>
      </c>
      <c r="K10" s="230">
        <f t="shared" ref="K10:K12" si="1">IF(ISNUMBER((E10-F10)/C10),(E10-F10)/C10," - ")</f>
        <v>9.8484848484848481E-2</v>
      </c>
      <c r="L10" s="1025">
        <f>IF(ISNUMBER(NºAsuntos!I10/NºAsuntos!G10),(NºAsuntos!I10/NºAsuntos!G10)*11," - ")</f>
        <v>43.108108108108105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132</v>
      </c>
      <c r="D13" s="1049">
        <f>SUBTOTAL(9,D9:D12)</f>
        <v>132</v>
      </c>
      <c r="E13" s="1050">
        <f>SUBTOTAL(9,E9:E12)</f>
        <v>50</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1532</v>
      </c>
      <c r="D15" s="225">
        <f>IF(ISNUMBER(IF(D_I="SI",Datos!I15,Datos!I15+Datos!AC15)),IF(D_I="SI",Datos!I15,Datos!I15+Datos!AC15)," - ")</f>
        <v>1162</v>
      </c>
      <c r="E15" s="226">
        <f>IF(ISNUMBER(IF(D_I="SI",Datos!J15,Datos!J15+Datos!AD15)),IF(D_I="SI",Datos!J15,Datos!J15+Datos!AD15)," - ")</f>
        <v>2110</v>
      </c>
      <c r="F15" s="226">
        <f>IF(ISNUMBER(IF(D_I="SI",Datos!K15,Datos!K15+Datos!AE15)),IF(D_I="SI",Datos!K15,Datos!K15+Datos!AE15)," - ")</f>
        <v>2225</v>
      </c>
      <c r="G15" s="1034" t="str">
        <f>IF(Datos!E15&lt;&gt;"",Datos!E15,Datos!D15)</f>
        <v>03</v>
      </c>
      <c r="H15" s="227">
        <f>IF(ISNUMBER(IF(D_I="SI",Datos!L15,Datos!L15+Datos!AF15)),IF(D_I="SI",Datos!L15,Datos!L15+Datos!AF15)," - ")</f>
        <v>1417</v>
      </c>
      <c r="I15" s="1044" t="str">
        <f>IF(ISNUMBER(Datos!AS15/Datos!BM15),Datos!AS15/Datos!BM15," - ")</f>
        <v xml:space="preserve"> - </v>
      </c>
      <c r="J15" s="1045">
        <f>IF(ISNUMBER(Datos!BY15/Datos!CN15),Datos!BY15/Datos!CN15," - ")</f>
        <v>0</v>
      </c>
      <c r="K15" s="230">
        <f t="shared" ref="K15:K17" si="3">IF(ISNUMBER((E15-F15)/C15),(E15-F15)/C15," - ")</f>
        <v>-7.5065274151436032E-2</v>
      </c>
      <c r="L15" s="1025">
        <f>IF(ISNUMBER(NºAsuntos!I15/NºAsuntos!G15),(NºAsuntos!I15/NºAsuntos!G15)*11," - ")</f>
        <v>7.0053932584269667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8</v>
      </c>
      <c r="D16" s="225">
        <f>IF(ISNUMBER(IF(D_I="SI",Datos!I16,Datos!I16+Datos!AC16)),IF(D_I="SI",Datos!I16,Datos!I16+Datos!AC16)," - ")</f>
        <v>8</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8</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285</v>
      </c>
      <c r="D17" s="225">
        <f>IF(ISNUMBER(IF(D_I="SI",Datos!I17,Datos!I17+Datos!AC17)),IF(D_I="SI",Datos!I17,Datos!I17+Datos!AC17)," - ")</f>
        <v>198</v>
      </c>
      <c r="E17" s="226">
        <f>IF(ISNUMBER(IF(D_I="SI",Datos!J17,Datos!J17+Datos!AD17)),IF(D_I="SI",Datos!J17,Datos!J17+Datos!AD17)," - ")</f>
        <v>292</v>
      </c>
      <c r="F17" s="226">
        <f>IF(ISNUMBER(IF(D_I="SI",Datos!K17,Datos!K17+Datos!AE17)),IF(D_I="SI",Datos!K17,Datos!K17+Datos!AE17)," - ")</f>
        <v>345</v>
      </c>
      <c r="G17" s="1034" t="str">
        <f>IF(Datos!E17&lt;&gt;"",Datos!E17,Datos!D17)</f>
        <v>37</v>
      </c>
      <c r="H17" s="227">
        <f>IF(ISNUMBER(IF(D_I="SI",Datos!L17,Datos!L17+Datos!AF17)),IF(D_I="SI",Datos!L17,Datos!L17+Datos!AF17)," - ")</f>
        <v>232</v>
      </c>
      <c r="I17" s="1044" t="str">
        <f>IF(ISNUMBER(Datos!AS17/Datos!BM17),Datos!AS17/Datos!BM17," - ")</f>
        <v xml:space="preserve"> - </v>
      </c>
      <c r="J17" s="1045" t="str">
        <f>IF(ISNUMBER((Datos!BY17+Datos!BZ17)/Datos!CN17),(Datos!BY17+Datos!BZ17)/Datos!CN17," - ")</f>
        <v xml:space="preserve"> - </v>
      </c>
      <c r="K17" s="230">
        <f t="shared" si="3"/>
        <v>-0.18596491228070175</v>
      </c>
      <c r="L17" s="1025">
        <f>IF(ISNUMBER(NºAsuntos!I17/NºAsuntos!G17),(NºAsuntos!I17/NºAsuntos!G17)*11," - ")</f>
        <v>7.397101449275362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1825</v>
      </c>
      <c r="D18" s="1049">
        <f>SUBTOTAL(9,D15:D17)</f>
        <v>1368</v>
      </c>
      <c r="E18" s="1050">
        <f>SUBTOTAL(9,E15:E17)</f>
        <v>2402</v>
      </c>
      <c r="F18" s="1050">
        <f>SUBTOTAL(9,F15:F17)</f>
        <v>2570</v>
      </c>
      <c r="G18" s="1052" t="str">
        <f ca="1">INDIRECT(CONCATENATE("G",ROW()-1))</f>
        <v>37</v>
      </c>
      <c r="H18" s="1053">
        <f ca="1">SUMIF(G$14:G17,G18,H$14:H17)</f>
        <v>232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1957</v>
      </c>
      <c r="D19" s="1071">
        <f>SUBTOTAL(9,D9:D18)</f>
        <v>1500</v>
      </c>
      <c r="E19" s="1072">
        <f>SUBTOTAL(9,E9:E18)</f>
        <v>2452</v>
      </c>
      <c r="F19" s="1072">
        <f>SUBTOTAL(9,F9:F18)</f>
        <v>2607</v>
      </c>
      <c r="G19" s="1073"/>
      <c r="H19" s="1074">
        <f ca="1">SUMIF(B9:B18,"TOTAL",H9:H18)</f>
        <v>232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pHgbn+mxzAtbyRglLNEkhgMpUEu4/AQ6Mv2HHHzkhq2qx8peoJuAcyhEZS+egSmSVKqGQLTXPkSYiXjZfOhsNw==" saltValue="K+yqp7RS4b78QBGjvygu6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S+mQp/vL3LhIt61R6cnA7EUTzEQA7BMe5BKTt4b+JC9bNYF+olaEw1/J2SoKuQcmDbXftGodU3fTkZCpZ3M9A==" saltValue="NGkkQAJYTiHx3S4okmr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8600</v>
      </c>
      <c r="J9" s="181">
        <v>3439</v>
      </c>
      <c r="K9" s="181">
        <v>3595</v>
      </c>
      <c r="L9" s="181">
        <v>8449</v>
      </c>
      <c r="M9" s="181">
        <v>624</v>
      </c>
      <c r="N9" s="181">
        <v>2180</v>
      </c>
      <c r="O9" s="181">
        <v>1196</v>
      </c>
      <c r="P9" s="181">
        <v>544</v>
      </c>
      <c r="Q9" s="181">
        <v>529</v>
      </c>
      <c r="R9" s="181">
        <v>8004</v>
      </c>
      <c r="S9" s="181">
        <v>6329</v>
      </c>
      <c r="T9" s="181">
        <v>2644</v>
      </c>
      <c r="U9" s="181">
        <v>2016</v>
      </c>
      <c r="V9" s="181">
        <v>6969</v>
      </c>
      <c r="W9" s="181">
        <v>330</v>
      </c>
      <c r="X9" s="188">
        <v>1418</v>
      </c>
      <c r="Y9" s="191">
        <v>193</v>
      </c>
      <c r="Z9" s="181">
        <v>229</v>
      </c>
      <c r="AA9" s="181">
        <v>242</v>
      </c>
      <c r="AB9" s="181">
        <v>180</v>
      </c>
      <c r="AC9" s="181">
        <v>0</v>
      </c>
      <c r="AD9" s="181">
        <v>0</v>
      </c>
      <c r="AE9" s="181">
        <v>0</v>
      </c>
      <c r="AF9" s="188">
        <v>0</v>
      </c>
      <c r="AG9" s="191">
        <v>268</v>
      </c>
      <c r="AH9" s="181">
        <v>250</v>
      </c>
      <c r="AI9" s="181">
        <v>258</v>
      </c>
      <c r="AJ9" s="192">
        <v>260</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6597</v>
      </c>
      <c r="AZ9" s="123">
        <f>IF(ISNUMBER(IF(J_V="SI",T9,T9+AH9)),IF(J_V="SI",T9,T9+AH9)," - ")</f>
        <v>2894</v>
      </c>
      <c r="BA9" s="124">
        <f>IF(ISNUMBER(IF(J_V="SI",U9,U9+AI9)),IF(J_V="SI",U9,U9+AI9)," - ")</f>
        <v>2274</v>
      </c>
      <c r="BB9" s="124">
        <f>IF(ISNUMBER(IF(J_V="SI",V9,V9+AJ9)),IF(J_V="SI",V9,V9+AJ9)," - ")</f>
        <v>7229</v>
      </c>
      <c r="BC9" s="125">
        <f>IF(ISNUMBER(X9),X9," - ")</f>
        <v>1418</v>
      </c>
      <c r="BD9" s="126">
        <f>IF(ISNUMBER(BA9/AZ9),BA9/AZ9," - ")</f>
        <v>0.78576364892881823</v>
      </c>
      <c r="BE9" s="127">
        <f>IF(ISNUMBER(BB9/BA9),BB9/BA9, " - ")</f>
        <v>3.1789797713280561</v>
      </c>
      <c r="BF9" s="127">
        <f>IF(ISNUMBER(BC9/BA9),BC9/BA9, " - ")</f>
        <v>0.62357080035180301</v>
      </c>
      <c r="BG9" s="196">
        <f>IF(ISNUMBER((AY9+AZ9)/BA9),(AY9+AZ9)/BA9," - ")</f>
        <v>4.1737027264731754</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132</v>
      </c>
      <c r="J10" s="181">
        <v>50</v>
      </c>
      <c r="K10" s="181">
        <v>37</v>
      </c>
      <c r="L10" s="181">
        <v>145</v>
      </c>
      <c r="M10" s="181">
        <v>20</v>
      </c>
      <c r="N10" s="181">
        <v>7</v>
      </c>
      <c r="O10" s="181">
        <v>5</v>
      </c>
      <c r="P10" s="181">
        <v>3</v>
      </c>
      <c r="Q10" s="181">
        <v>8</v>
      </c>
      <c r="R10" s="181">
        <v>69</v>
      </c>
      <c r="S10" s="181">
        <v>125</v>
      </c>
      <c r="T10" s="181">
        <v>40</v>
      </c>
      <c r="U10" s="181">
        <v>33</v>
      </c>
      <c r="V10" s="181">
        <v>132</v>
      </c>
      <c r="W10" s="181">
        <v>5</v>
      </c>
      <c r="X10" s="188">
        <v>24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125</v>
      </c>
      <c r="AZ10" s="129">
        <f t="shared" si="0"/>
        <v>40</v>
      </c>
      <c r="BA10" s="129">
        <f t="shared" si="0"/>
        <v>33</v>
      </c>
      <c r="BB10" s="129">
        <f t="shared" si="0"/>
        <v>132</v>
      </c>
      <c r="BC10" s="125">
        <f t="shared" si="0"/>
        <v>5</v>
      </c>
      <c r="BD10" s="126">
        <f>IF(ISNUMBER(BA10/AZ10),BA10/AZ10," - ")</f>
        <v>0.82499999999999996</v>
      </c>
      <c r="BE10" s="127">
        <f>IF(ISNUMBER(BB10/BA10),BB10/BA10, " - ")</f>
        <v>4</v>
      </c>
      <c r="BF10" s="127">
        <f>IF(ISNUMBER(BC10/BA10),BC10/BA10, " - ")</f>
        <v>0.15151515151515152</v>
      </c>
      <c r="BG10" s="196">
        <f>IF(ISNUMBER((AY10+AZ10)/BA10),(AY10+AZ10)/BA10," - ")</f>
        <v>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8732</v>
      </c>
      <c r="J13" s="184">
        <f t="shared" si="6"/>
        <v>3489</v>
      </c>
      <c r="K13" s="184">
        <f t="shared" si="6"/>
        <v>3632</v>
      </c>
      <c r="L13" s="184">
        <f t="shared" si="6"/>
        <v>8594</v>
      </c>
      <c r="M13" s="184">
        <f t="shared" si="6"/>
        <v>644</v>
      </c>
      <c r="N13" s="184">
        <f t="shared" si="6"/>
        <v>2187</v>
      </c>
      <c r="O13" s="184">
        <f t="shared" si="6"/>
        <v>1201</v>
      </c>
      <c r="P13" s="184">
        <f t="shared" si="6"/>
        <v>547</v>
      </c>
      <c r="Q13" s="184">
        <f t="shared" si="6"/>
        <v>537</v>
      </c>
      <c r="R13" s="184">
        <f t="shared" si="6"/>
        <v>8073</v>
      </c>
      <c r="S13" s="184">
        <f t="shared" si="6"/>
        <v>6454</v>
      </c>
      <c r="T13" s="184">
        <f t="shared" si="6"/>
        <v>2684</v>
      </c>
      <c r="U13" s="184">
        <f t="shared" si="6"/>
        <v>2049</v>
      </c>
      <c r="V13" s="184">
        <f t="shared" si="6"/>
        <v>7101</v>
      </c>
      <c r="W13" s="184">
        <f t="shared" si="6"/>
        <v>335</v>
      </c>
      <c r="X13" s="184">
        <f t="shared" si="6"/>
        <v>1442</v>
      </c>
      <c r="Y13" s="184">
        <f t="shared" si="6"/>
        <v>193</v>
      </c>
      <c r="Z13" s="184">
        <f t="shared" si="6"/>
        <v>229</v>
      </c>
      <c r="AA13" s="184">
        <f t="shared" si="6"/>
        <v>242</v>
      </c>
      <c r="AB13" s="184">
        <f t="shared" si="6"/>
        <v>180</v>
      </c>
      <c r="AC13" s="184">
        <f t="shared" si="6"/>
        <v>0</v>
      </c>
      <c r="AD13" s="184">
        <f t="shared" si="6"/>
        <v>0</v>
      </c>
      <c r="AE13" s="184">
        <f t="shared" si="6"/>
        <v>0</v>
      </c>
      <c r="AF13" s="184">
        <f>SUBTOTAL(9,AF9:AF12)</f>
        <v>0</v>
      </c>
      <c r="AG13" s="184">
        <f t="shared" ref="AG13:AT13" si="7">SUBTOTAL(9,AG8:AG12)</f>
        <v>268</v>
      </c>
      <c r="AH13" s="184">
        <f t="shared" si="7"/>
        <v>250</v>
      </c>
      <c r="AI13" s="184">
        <f t="shared" si="7"/>
        <v>258</v>
      </c>
      <c r="AJ13" s="184">
        <f t="shared" si="7"/>
        <v>260</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6722</v>
      </c>
      <c r="AZ13" s="184">
        <f>SUBTOTAL(9,AZ8:AZ12)</f>
        <v>2934</v>
      </c>
      <c r="BA13" s="184">
        <f>SUBTOTAL(9,BA8:BA12)</f>
        <v>2307</v>
      </c>
      <c r="BB13" s="184">
        <f>SUBTOTAL(9,BB8:BB12)</f>
        <v>7361</v>
      </c>
      <c r="BC13" s="184">
        <f>SUBTOTAL(9,BC8:BC12)</f>
        <v>1423</v>
      </c>
      <c r="BD13" s="205">
        <f>IF(ISNUMBER(BA13/AZ13),BA13/AZ13," - ")</f>
        <v>0.78629856850715751</v>
      </c>
      <c r="BE13" s="206">
        <f>IF(ISNUMBER(BB13/BA13),BB13/BA13, " - ")</f>
        <v>3.1907238838318164</v>
      </c>
      <c r="BF13" s="206">
        <f>IF(ISNUMBER(BC13/BA13),BC13/BA13, " - ")</f>
        <v>0.61681837884698743</v>
      </c>
      <c r="BG13" s="207">
        <f>IF(ISNUMBER((AY13+AZ13)/BA13),(AY13+AZ13)/BA13," - ")</f>
        <v>4.185522323363676</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1162</v>
      </c>
      <c r="J15" s="183">
        <v>2110</v>
      </c>
      <c r="K15" s="183">
        <v>2225</v>
      </c>
      <c r="L15" s="183">
        <v>1417</v>
      </c>
      <c r="M15" s="183">
        <v>290</v>
      </c>
      <c r="N15" s="183">
        <v>1288</v>
      </c>
      <c r="O15" s="181">
        <v>73</v>
      </c>
      <c r="P15" s="183">
        <v>88</v>
      </c>
      <c r="Q15" s="183">
        <v>130</v>
      </c>
      <c r="R15" s="183">
        <v>359</v>
      </c>
      <c r="S15" s="183">
        <v>1044</v>
      </c>
      <c r="T15" s="183">
        <v>2053</v>
      </c>
      <c r="U15" s="183">
        <v>2046</v>
      </c>
      <c r="V15" s="183">
        <v>1126</v>
      </c>
      <c r="W15" s="183">
        <v>228</v>
      </c>
      <c r="X15" s="189">
        <v>1234</v>
      </c>
      <c r="Y15" s="202">
        <v>0</v>
      </c>
      <c r="Z15" s="183">
        <v>0</v>
      </c>
      <c r="AA15" s="183">
        <v>0</v>
      </c>
      <c r="AB15" s="183">
        <v>0</v>
      </c>
      <c r="AC15" s="183">
        <v>2</v>
      </c>
      <c r="AD15" s="183">
        <v>65</v>
      </c>
      <c r="AE15" s="183">
        <v>59</v>
      </c>
      <c r="AF15" s="189">
        <v>8</v>
      </c>
      <c r="AG15" s="202">
        <v>0</v>
      </c>
      <c r="AH15" s="183">
        <v>0</v>
      </c>
      <c r="AI15" s="183">
        <v>0</v>
      </c>
      <c r="AJ15" s="203">
        <v>0</v>
      </c>
      <c r="AK15" s="182">
        <v>0</v>
      </c>
      <c r="AL15" s="183">
        <v>51</v>
      </c>
      <c r="AM15" s="183">
        <v>51</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1044</v>
      </c>
      <c r="AZ15" s="129">
        <f t="shared" si="9"/>
        <v>2053</v>
      </c>
      <c r="BA15" s="129">
        <f t="shared" si="9"/>
        <v>2046</v>
      </c>
      <c r="BB15" s="129">
        <f t="shared" si="9"/>
        <v>1126</v>
      </c>
      <c r="BC15" s="125">
        <f>IF(ISNUMBER(W15),W15," - ")</f>
        <v>228</v>
      </c>
      <c r="BD15" s="126">
        <f>IF(ISNUMBER(BA15/AZ15),BA15/AZ15," - ")</f>
        <v>0.9965903555772041</v>
      </c>
      <c r="BE15" s="127">
        <f>IF(ISNUMBER(BB15/BA15),BB15/BA15, " - ")</f>
        <v>0.55034213098729223</v>
      </c>
      <c r="BF15" s="127">
        <f>IF(ISNUMBER(BC15/BA15),BC15/BA15, " - ")</f>
        <v>0.11143695014662756</v>
      </c>
      <c r="BG15" s="196">
        <f t="shared" ref="BG15:BG16" si="10">IF(ISNUMBER((AY15+AZ15)/BA15),(AY15+AZ15)/BA15," - ")</f>
        <v>1.5136852394916911</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v>
      </c>
      <c r="J16" s="183">
        <v>0</v>
      </c>
      <c r="K16" s="183">
        <v>0</v>
      </c>
      <c r="L16" s="183">
        <v>8</v>
      </c>
      <c r="M16" s="183">
        <v>0</v>
      </c>
      <c r="N16" s="183">
        <v>0</v>
      </c>
      <c r="O16" s="181">
        <v>0</v>
      </c>
      <c r="P16" s="183">
        <v>0</v>
      </c>
      <c r="Q16" s="183">
        <v>0</v>
      </c>
      <c r="R16" s="183">
        <v>0</v>
      </c>
      <c r="S16" s="183">
        <v>8</v>
      </c>
      <c r="T16" s="183">
        <v>0</v>
      </c>
      <c r="U16" s="183">
        <v>0</v>
      </c>
      <c r="V16" s="183">
        <v>8</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198</v>
      </c>
      <c r="J17" s="183">
        <v>292</v>
      </c>
      <c r="K17" s="183">
        <v>345</v>
      </c>
      <c r="L17" s="183">
        <v>232</v>
      </c>
      <c r="M17" s="183">
        <v>24</v>
      </c>
      <c r="N17" s="183">
        <v>182</v>
      </c>
      <c r="O17" s="183">
        <v>0</v>
      </c>
      <c r="P17" s="183">
        <v>4</v>
      </c>
      <c r="Q17" s="183">
        <v>0</v>
      </c>
      <c r="R17" s="183">
        <v>9</v>
      </c>
      <c r="S17" s="183">
        <v>247</v>
      </c>
      <c r="T17" s="183">
        <v>302</v>
      </c>
      <c r="U17" s="183">
        <v>357</v>
      </c>
      <c r="V17" s="183">
        <v>195</v>
      </c>
      <c r="W17" s="183">
        <v>21</v>
      </c>
      <c r="X17" s="189">
        <v>202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247</v>
      </c>
      <c r="AZ17" s="129">
        <f t="shared" si="14"/>
        <v>302</v>
      </c>
      <c r="BA17" s="129">
        <f t="shared" si="14"/>
        <v>357</v>
      </c>
      <c r="BB17" s="129">
        <f t="shared" si="14"/>
        <v>195</v>
      </c>
      <c r="BC17" s="125">
        <f>IF(ISNUMBER(W17),W17," - ")</f>
        <v>21</v>
      </c>
      <c r="BD17" s="126">
        <f>IF(ISNUMBER(BA17/AZ17),BA17/AZ17," - ")</f>
        <v>1.1821192052980132</v>
      </c>
      <c r="BE17" s="127">
        <f>IF(ISNUMBER(BB17/BA17),BB17/BA17, " - ")</f>
        <v>0.54621848739495793</v>
      </c>
      <c r="BF17" s="127">
        <f>IF(ISNUMBER(BC17/BA17),BC17/BA17, " - ")</f>
        <v>5.8823529411764705E-2</v>
      </c>
      <c r="BG17" s="196">
        <f>IF(ISNUMBER((AY17+AZ17)/BA17),(AY17+AZ17)/BA17," - ")</f>
        <v>1.5378151260504203</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1368</v>
      </c>
      <c r="J18" s="184">
        <f t="shared" si="15"/>
        <v>2402</v>
      </c>
      <c r="K18" s="184">
        <f t="shared" si="15"/>
        <v>2570</v>
      </c>
      <c r="L18" s="184">
        <f t="shared" si="15"/>
        <v>1657</v>
      </c>
      <c r="M18" s="184">
        <f t="shared" si="15"/>
        <v>314</v>
      </c>
      <c r="N18" s="184">
        <f t="shared" si="15"/>
        <v>1470</v>
      </c>
      <c r="O18" s="184">
        <f t="shared" si="15"/>
        <v>73</v>
      </c>
      <c r="P18" s="184">
        <f t="shared" si="15"/>
        <v>92</v>
      </c>
      <c r="Q18" s="184">
        <f t="shared" si="15"/>
        <v>130</v>
      </c>
      <c r="R18" s="184">
        <f t="shared" si="15"/>
        <v>368</v>
      </c>
      <c r="S18" s="184">
        <f t="shared" si="15"/>
        <v>1299</v>
      </c>
      <c r="T18" s="184">
        <f t="shared" si="15"/>
        <v>2355</v>
      </c>
      <c r="U18" s="184">
        <f t="shared" si="15"/>
        <v>2403</v>
      </c>
      <c r="V18" s="184">
        <f t="shared" si="15"/>
        <v>1329</v>
      </c>
      <c r="W18" s="184">
        <f t="shared" si="15"/>
        <v>249</v>
      </c>
      <c r="X18" s="184">
        <f t="shared" si="15"/>
        <v>1436</v>
      </c>
      <c r="Y18" s="184">
        <f t="shared" si="15"/>
        <v>0</v>
      </c>
      <c r="Z18" s="184">
        <f t="shared" si="15"/>
        <v>0</v>
      </c>
      <c r="AA18" s="184">
        <f t="shared" si="15"/>
        <v>0</v>
      </c>
      <c r="AB18" s="184">
        <f t="shared" si="15"/>
        <v>0</v>
      </c>
      <c r="AC18" s="184">
        <f t="shared" si="15"/>
        <v>2</v>
      </c>
      <c r="AD18" s="184">
        <f t="shared" si="15"/>
        <v>65</v>
      </c>
      <c r="AE18" s="184">
        <f t="shared" si="15"/>
        <v>59</v>
      </c>
      <c r="AF18" s="184">
        <f t="shared" si="15"/>
        <v>8</v>
      </c>
      <c r="AG18" s="184">
        <f t="shared" si="15"/>
        <v>0</v>
      </c>
      <c r="AH18" s="184">
        <f t="shared" si="15"/>
        <v>0</v>
      </c>
      <c r="AI18" s="184">
        <f t="shared" si="15"/>
        <v>0</v>
      </c>
      <c r="AJ18" s="184">
        <f t="shared" si="15"/>
        <v>0</v>
      </c>
      <c r="AK18" s="184">
        <f t="shared" si="15"/>
        <v>0</v>
      </c>
      <c r="AL18" s="184">
        <f t="shared" si="15"/>
        <v>51</v>
      </c>
      <c r="AM18" s="184">
        <f t="shared" si="15"/>
        <v>51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1299</v>
      </c>
      <c r="AZ18" s="184">
        <f>SUBTOTAL(9,AZ14:AZ17)</f>
        <v>2355</v>
      </c>
      <c r="BA18" s="184">
        <f>SUBTOTAL(9,BA14:BA17)</f>
        <v>2403</v>
      </c>
      <c r="BB18" s="184">
        <f>SUBTOTAL(9,BB14:BB17)</f>
        <v>1329</v>
      </c>
      <c r="BC18" s="184">
        <f>SUBTOTAL(9,BC14:BC17)</f>
        <v>249</v>
      </c>
      <c r="BD18" s="205">
        <f>IF(ISNUMBER(BA18/AZ18),BA18/AZ18," - ")</f>
        <v>1.0203821656050955</v>
      </c>
      <c r="BE18" s="206">
        <f>IF(ISNUMBER(BB18/BA18),BB18/BA18, " - ")</f>
        <v>0.55305867665418229</v>
      </c>
      <c r="BF18" s="206">
        <f>IF(ISNUMBER(BC18/BA18),BC18/BA18, " - ")</f>
        <v>0.10362047440699126</v>
      </c>
      <c r="BG18" s="207">
        <f>IF(ISNUMBER((AY18+AZ18)/BA18),(AY18+AZ18)/BA18," - ")</f>
        <v>1.5205992509363295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10100</v>
      </c>
      <c r="J19" s="134">
        <f t="shared" si="18"/>
        <v>5891</v>
      </c>
      <c r="K19" s="134">
        <f t="shared" si="18"/>
        <v>6202</v>
      </c>
      <c r="L19" s="134">
        <f t="shared" si="18"/>
        <v>10251</v>
      </c>
      <c r="M19" s="134">
        <f t="shared" si="18"/>
        <v>958</v>
      </c>
      <c r="N19" s="134">
        <f t="shared" si="18"/>
        <v>3657</v>
      </c>
      <c r="O19" s="134">
        <f t="shared" si="18"/>
        <v>1274</v>
      </c>
      <c r="P19" s="134">
        <f t="shared" si="18"/>
        <v>639</v>
      </c>
      <c r="Q19" s="134">
        <f t="shared" si="18"/>
        <v>667</v>
      </c>
      <c r="R19" s="134">
        <f t="shared" si="18"/>
        <v>8441</v>
      </c>
      <c r="S19" s="134">
        <f t="shared" si="18"/>
        <v>7753</v>
      </c>
      <c r="T19" s="134">
        <f t="shared" si="18"/>
        <v>5039</v>
      </c>
      <c r="U19" s="134">
        <f t="shared" si="18"/>
        <v>4452</v>
      </c>
      <c r="V19" s="134">
        <f t="shared" si="18"/>
        <v>8430</v>
      </c>
      <c r="W19" s="134">
        <f t="shared" si="18"/>
        <v>584</v>
      </c>
      <c r="X19" s="134">
        <f t="shared" si="18"/>
        <v>2878</v>
      </c>
      <c r="Y19" s="134">
        <f t="shared" si="18"/>
        <v>193</v>
      </c>
      <c r="Z19" s="134">
        <f t="shared" si="18"/>
        <v>229</v>
      </c>
      <c r="AA19" s="134">
        <f t="shared" si="18"/>
        <v>242</v>
      </c>
      <c r="AB19" s="134">
        <f t="shared" si="18"/>
        <v>180</v>
      </c>
      <c r="AC19" s="134">
        <f t="shared" si="18"/>
        <v>2</v>
      </c>
      <c r="AD19" s="134">
        <f t="shared" si="18"/>
        <v>65</v>
      </c>
      <c r="AE19" s="134">
        <f t="shared" si="18"/>
        <v>59</v>
      </c>
      <c r="AF19" s="134">
        <f t="shared" si="18"/>
        <v>8</v>
      </c>
      <c r="AG19" s="134">
        <f t="shared" si="18"/>
        <v>268</v>
      </c>
      <c r="AH19" s="134">
        <f t="shared" si="18"/>
        <v>250</v>
      </c>
      <c r="AI19" s="134">
        <f t="shared" si="18"/>
        <v>258</v>
      </c>
      <c r="AJ19" s="134">
        <f t="shared" si="18"/>
        <v>260</v>
      </c>
      <c r="AK19" s="134">
        <f t="shared" si="18"/>
        <v>0</v>
      </c>
      <c r="AL19" s="134">
        <f t="shared" si="18"/>
        <v>51</v>
      </c>
      <c r="AM19" s="134">
        <f t="shared" si="18"/>
        <v>51</v>
      </c>
      <c r="AN19" s="210">
        <f t="shared" si="18"/>
        <v>0</v>
      </c>
      <c r="AO19" s="211">
        <v>11</v>
      </c>
      <c r="AP19" s="211">
        <v>11</v>
      </c>
      <c r="AQ19" s="211">
        <v>11</v>
      </c>
      <c r="AR19" s="211">
        <v>11</v>
      </c>
      <c r="AS19" s="153">
        <f t="shared" si="18"/>
        <v>0</v>
      </c>
      <c r="AT19" s="153">
        <f t="shared" si="18"/>
        <v>0</v>
      </c>
      <c r="AU19" s="211"/>
      <c r="AV19" s="212"/>
      <c r="AW19" s="211"/>
      <c r="AX19" s="212"/>
      <c r="AY19" s="133">
        <f>SUBTOTAL(9,AY9:AY18)</f>
        <v>8021</v>
      </c>
      <c r="AZ19" s="134">
        <f>SUBTOTAL(9,AZ9:AZ18)</f>
        <v>5289</v>
      </c>
      <c r="BA19" s="134">
        <f>SUBTOTAL(9,BA9:BA18)</f>
        <v>4710</v>
      </c>
      <c r="BB19" s="134">
        <f>SUBTOTAL(9,BB9:BB18)</f>
        <v>8690</v>
      </c>
      <c r="BC19" s="135">
        <f>SUBTOTAL(9,BC9:BC18)</f>
        <v>1672</v>
      </c>
      <c r="BD19" s="213">
        <f>IF(ISNUMBER(BA19/AZ19),BA19/AZ19," - ")</f>
        <v>0.89052750992626206</v>
      </c>
      <c r="BE19" s="210">
        <f>IF(ISNUMBER(BB19/BA19),BB19/BA19, " - ")</f>
        <v>1.8450106157112527</v>
      </c>
      <c r="BF19" s="210">
        <f>IF(ISNUMBER(BC19/BA19),BC19/BA19, " - ")</f>
        <v>0.35498938428874732</v>
      </c>
      <c r="BG19" s="135">
        <f>IF(ISNUMBER((AY19+AZ19)/BA19),(AY19+AZ19)/BA19," - ")</f>
        <v>2.8259023354564756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sbcoq6u6jldypL42eAIVhKaLTdNAO9qXv9DXAP3hl0PqrjBTV5PONli5QGTD7tFUf4DyJerl1fuhJyULZulzA==" saltValue="XqcuaXfb7FC2sZGIllvW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qsODKjt0PnJpSeDUe7umtcjA7wPVYS1yj0xo2GjtLyF5WIbvA7E6kz91lsMtXhBGjKoj+HblPh+ETAaJAr0Vw==" saltValue="bsJdJgf0K2bD9hQFm2N9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TORREJON DE ARDOZ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229</v>
      </c>
      <c r="O9" s="334"/>
      <c r="P9" s="334"/>
      <c r="Q9" s="226">
        <f>IF(ISNUMBER(Datos!P9),Datos!P9,0)</f>
        <v>544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529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180</v>
      </c>
      <c r="AI9" s="334" t="str">
        <f>IF(ISNUMBER(Datos!CD9),Datos!CD9,"-")</f>
        <v>-</v>
      </c>
      <c r="AJ9" s="334" t="str">
        <f>IF(ISNUMBER(Datos!EN9),Datos!EN9," - ")</f>
        <v xml:space="preserve"> - </v>
      </c>
      <c r="AK9" s="334"/>
      <c r="AL9" s="479"/>
      <c r="AM9" s="335">
        <f>IF(ISNUMBER(Datos!R9),Datos!R9," - ")</f>
        <v>8004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624</v>
      </c>
      <c r="BD9" s="229">
        <f>IF(ISNUMBER(Datos!N9),Datos!N9," - ")</f>
        <v>2180</v>
      </c>
      <c r="BE9" s="229" t="str">
        <f>IF(ISNUMBER(Datos!BW9),Datos!BW9," - ")</f>
        <v xml:space="preserve"> - </v>
      </c>
      <c r="BF9" s="228" t="str">
        <f>IF(ISNUMBER(Datos!BX9),Datos!BX9," - ")</f>
        <v xml:space="preserve"> - </v>
      </c>
      <c r="BG9" s="243">
        <f>IF(ISNUMBER(IF(J_V="SI",Datos!K9/Datos!J9,(Datos!K9+Datos!AA9)/(Datos!J9+Datos!Z9))),IF(J_V="SI",Datos!K9/Datos!J9,(Datos!K9+Datos!AA9)/(Datos!J9+Datos!Z9))," - ")</f>
        <v>1.0460741548527808</v>
      </c>
      <c r="BH9" s="260">
        <f>IF(ISNUMBER(((IF(J_V="SI",Datos!L9/Datos!K9,(Datos!L9+Datos!AB9)/(Datos!K9+Datos!AA9)))*11)/factor_trimestre),((IF(J_V="SI",Datos!L9/Datos!K9,(Datos!L9+Datos!AB9)/(Datos!K9+Datos!AA9)))*11)/factor_trimestre," - ")</f>
        <v>6.746677091477717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1.8775816748028539E-3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132</v>
      </c>
      <c r="G10" s="333">
        <f>IF(ISNUMBER(Datos!I10),Datos!I10," - ")</f>
        <v>132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8</v>
      </c>
      <c r="AD10" s="334"/>
      <c r="AE10" s="484"/>
      <c r="AF10" s="332">
        <f>IF(ISNUMBER(Datos!L10),Datos!L10,"-")</f>
        <v>145</v>
      </c>
      <c r="AG10" s="334"/>
      <c r="AH10" s="334"/>
      <c r="AI10" s="334"/>
      <c r="AJ10" s="334"/>
      <c r="AK10" s="334"/>
      <c r="AL10" s="479"/>
      <c r="AM10" s="335">
        <f>IF(ISNUMBER(Datos!R10),Datos!R10," - ")</f>
        <v>69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7</v>
      </c>
      <c r="BE10" s="229" t="str">
        <f>IF(ISNUMBER(Datos!BW10),Datos!BW10," - ")</f>
        <v xml:space="preserve"> - </v>
      </c>
      <c r="BF10" s="228" t="str">
        <f>IF(ISNUMBER(Datos!BX10),Datos!BX10," - ")</f>
        <v xml:space="preserve"> - </v>
      </c>
      <c r="BG10" s="243">
        <f>IF(ISNUMBER(Datos!K10/Datos!J10),Datos!K10/Datos!J10," - ")</f>
        <v>0.74</v>
      </c>
      <c r="BH10" s="260">
        <f>IF(ISNUMBER(((Datos!L10/Datos!K10)*11)/factor_trimestre),((Datos!L10/Datos!K10)*11)/factor_trimestre," - ")</f>
        <v>11.756756756756756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-6.7567567567567571E-2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132</v>
      </c>
      <c r="G13" s="898">
        <f t="shared" si="0"/>
        <v>132</v>
      </c>
      <c r="H13" s="899">
        <f t="shared" si="0"/>
        <v>0</v>
      </c>
      <c r="I13" s="898">
        <f t="shared" si="0"/>
        <v>0</v>
      </c>
      <c r="J13" s="867">
        <f t="shared" si="0"/>
        <v>0</v>
      </c>
      <c r="K13" s="867">
        <f t="shared" si="0"/>
        <v>0</v>
      </c>
      <c r="L13" s="899">
        <f t="shared" si="0"/>
        <v>0</v>
      </c>
      <c r="M13" s="899">
        <f t="shared" si="0"/>
        <v>0</v>
      </c>
      <c r="N13" s="899">
        <f t="shared" si="0"/>
        <v>229</v>
      </c>
      <c r="O13" s="900">
        <f t="shared" si="0"/>
        <v>0</v>
      </c>
      <c r="P13" s="900">
        <f t="shared" si="0"/>
        <v>0</v>
      </c>
      <c r="Q13" s="899">
        <f t="shared" si="0"/>
        <v>547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537</v>
      </c>
      <c r="AD13" s="899">
        <f t="shared" si="1"/>
        <v>0</v>
      </c>
      <c r="AE13" s="899">
        <f t="shared" si="1"/>
        <v>0</v>
      </c>
      <c r="AF13" s="899">
        <f t="shared" si="1"/>
        <v>145</v>
      </c>
      <c r="AG13" s="899">
        <f t="shared" si="1"/>
        <v>0</v>
      </c>
      <c r="AH13" s="899">
        <f t="shared" si="1"/>
        <v>180</v>
      </c>
      <c r="AI13" s="899">
        <f t="shared" si="1"/>
        <v>0</v>
      </c>
      <c r="AJ13" s="899">
        <f t="shared" si="1"/>
        <v>0</v>
      </c>
      <c r="AK13" s="899">
        <f t="shared" si="1"/>
        <v>0</v>
      </c>
      <c r="AL13" s="899">
        <f t="shared" si="1"/>
        <v>0</v>
      </c>
      <c r="AM13" s="899">
        <f t="shared" si="1"/>
        <v>8073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644</v>
      </c>
      <c r="BD13" s="899">
        <f t="shared" si="1"/>
        <v>2187</v>
      </c>
      <c r="BE13" s="899">
        <f t="shared" si="1"/>
        <v>0</v>
      </c>
      <c r="BF13" s="899">
        <f t="shared" si="1"/>
        <v>0</v>
      </c>
      <c r="BG13" s="899">
        <f>IF(ISNUMBER(Datos!K13/Datos!J13),Datos!K13/Datos!J13," - ")</f>
        <v>1.0409859558612784</v>
      </c>
      <c r="BH13" s="903">
        <f>IF(ISNUMBER(((Datos!L13/Datos!K13)*11)/factor_trimestre),((Datos!L13/Datos!K13)*11)/factor_trimestre," - ")</f>
        <v>7.0985682819383262</v>
      </c>
      <c r="BI13" s="899">
        <f>IF(ISNUMBER('Resol  Asuntos'!D13/NºAsuntos!G13),'Resol  Asuntos'!D13/NºAsuntos!G13," - ")</f>
        <v>0.16623644811564275</v>
      </c>
      <c r="BJ13" s="899" t="str">
        <f>IF(ISNUMBER(Datos!CI13/Datos!CJ13),Datos!CI13/Datos!CJ13," - ")</f>
        <v xml:space="preserve"> - </v>
      </c>
      <c r="BK13" s="899">
        <f>SUBTOTAL(9,BK8:BK12)</f>
        <v>0</v>
      </c>
      <c r="BL13" s="899">
        <f>IF(ISNUMBER((I13-AB13+L13)/(F13)),(I13-AB13+L13)/(F13)," - ")</f>
        <v>-0.28030303030303028</v>
      </c>
      <c r="BM13" s="904">
        <f>SUBTOTAL(9,BM9:BM12)</f>
        <v>-6.5689985892764716E-2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1532</v>
      </c>
      <c r="G15" s="598">
        <f>IF(ISNUMBER(IF(D_I="SI",Datos!I15,Datos!I15+Datos!AC15)),IF(D_I="SI",Datos!I15,Datos!I15+Datos!AC15)," - ")</f>
        <v>1162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2225</v>
      </c>
      <c r="AC15" s="226">
        <f>IF(ISNUMBER(Datos!Q15),Datos!Q15," - ")</f>
        <v>130</v>
      </c>
      <c r="AD15" s="334"/>
      <c r="AE15" s="484"/>
      <c r="AF15" s="596">
        <f>IF(ISNUMBER(IF(D_I="SI",Datos!L15,Datos!L15+Datos!AF15)),IF(D_I="SI",Datos!L15,Datos!L15+Datos!AF15)," - ")</f>
        <v>1417</v>
      </c>
      <c r="AG15" s="334"/>
      <c r="AH15" s="334"/>
      <c r="AI15" s="334"/>
      <c r="AJ15" s="334"/>
      <c r="AK15" s="334"/>
      <c r="AL15" s="479"/>
      <c r="AM15" s="335">
        <f>IF(ISNUMBER(Datos!R15),Datos!R15," - ")</f>
        <v>359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290</v>
      </c>
      <c r="BD15" s="229">
        <f>IF(ISNUMBER(Datos!N15),Datos!N15," - ")</f>
        <v>1288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1.0545023696682465</v>
      </c>
      <c r="BH15" s="260">
        <f>IF(ISNUMBER(((IF(D_I="SI",Datos!L15/Datos!K15,(Datos!L15+Datos!AF15)/(Datos!K15+Datos!AE15)))*11)/factor_trimestre),((IF(D_I="SI",Datos!L15/Datos!K15,(Datos!L15+Datos!AF15)/(Datos!K15+Datos!AE15)))*11)/factor_trimestre," - ")</f>
        <v>1.9105617977528091</v>
      </c>
      <c r="BI15" s="243">
        <f>IF(ISNUMBER('Resol  Asuntos'!D15/NºAsuntos!G15),'Resol  Asuntos'!D15/NºAsuntos!G15," - ")</f>
        <v>0.1303370786516854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8</v>
      </c>
      <c r="G16" s="598">
        <f>IF(ISNUMBER(IF(D_I="SI",Datos!I16,Datos!I16+Datos!AC16)),IF(D_I="SI",Datos!I16,Datos!I16+Datos!AC16)," - ")</f>
        <v>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8</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198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345</v>
      </c>
      <c r="AC17" s="226">
        <f>IF(ISNUMBER(Datos!Q17),Datos!Q17," - ")</f>
        <v>0</v>
      </c>
      <c r="AD17" s="334"/>
      <c r="AE17" s="484"/>
      <c r="AF17" s="332">
        <f>IF(ISNUMBER(Datos!L17),Datos!L17,"-")</f>
        <v>232</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24</v>
      </c>
      <c r="BD17" s="229">
        <f>IF(ISNUMBER(Datos!N17),Datos!N17," - ")</f>
        <v>182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1.1815068493150684</v>
      </c>
      <c r="BH17" s="260">
        <f>IF(ISNUMBER(((IF(D_I="SI",Datos!L17/Datos!K17,(Datos!L17+Datos!AF17)/(Datos!K17+Datos!AE17)))*11)/factor_trimestre),((IF(D_I="SI",Datos!L17/Datos!K17,(Datos!L17+Datos!AF17)/(Datos!K17+Datos!AE17)))*11)/factor_trimestre," - ")</f>
        <v>2.017391304347826</v>
      </c>
      <c r="BI17" s="243">
        <f>IF(ISNUMBER('Resol  Asuntos'!D17/NºAsuntos!G17),'Resol  Asuntos'!D17/NºAsuntos!G17," - ")</f>
        <v>6.9565217391304349E-2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1540</v>
      </c>
      <c r="G18" s="898">
        <f>SUBTOTAL(9,G15:G17)</f>
        <v>1368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2570</v>
      </c>
      <c r="AC18" s="899">
        <f t="shared" si="4"/>
        <v>130</v>
      </c>
      <c r="AD18" s="899">
        <f t="shared" si="4"/>
        <v>0</v>
      </c>
      <c r="AE18" s="899">
        <f t="shared" si="4"/>
        <v>0</v>
      </c>
      <c r="AF18" s="899">
        <f t="shared" si="4"/>
        <v>1657</v>
      </c>
      <c r="AG18" s="899">
        <f t="shared" si="4"/>
        <v>0</v>
      </c>
      <c r="AH18" s="899">
        <f t="shared" si="4"/>
        <v>0</v>
      </c>
      <c r="AI18" s="899">
        <f t="shared" si="4"/>
        <v>0</v>
      </c>
      <c r="AJ18" s="899">
        <f t="shared" si="4"/>
        <v>0</v>
      </c>
      <c r="AK18" s="899">
        <f t="shared" si="4"/>
        <v>0</v>
      </c>
      <c r="AL18" s="899">
        <f t="shared" si="4"/>
        <v>0</v>
      </c>
      <c r="AM18" s="899">
        <f t="shared" si="4"/>
        <v>368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314</v>
      </c>
      <c r="BD18" s="899">
        <f t="shared" si="4"/>
        <v>1470</v>
      </c>
      <c r="BE18" s="899">
        <f t="shared" si="4"/>
        <v>0</v>
      </c>
      <c r="BF18" s="899">
        <f t="shared" si="4"/>
        <v>0</v>
      </c>
      <c r="BG18" s="899">
        <f>IF(ISNUMBER(Datos!K18/Datos!J18),Datos!K18/Datos!J18," - ")</f>
        <v>1.0699417152373023</v>
      </c>
      <c r="BH18" s="903">
        <f>IF(ISNUMBER(((Datos!L18/Datos!K18)*11)/factor_trimestre),((Datos!L18/Datos!K18)*11)/factor_trimestre," - ")</f>
        <v>1.934241245136187</v>
      </c>
      <c r="BI18" s="899">
        <f>SUBTOTAL(9,BI15:BI17)</f>
        <v>0.19990229604298976</v>
      </c>
      <c r="BJ18" s="899">
        <f>SUBTOTAL(9,BJ15:BJ17)</f>
        <v>0</v>
      </c>
      <c r="BK18" s="899">
        <f>SUBTOTAL(9,BK15:BK17)</f>
        <v>0</v>
      </c>
      <c r="BL18" s="899">
        <f>IF(ISNUMBER((I18-AB18+L18)/(F18)),(I18-AB18+L18)/(F18)," - ")</f>
        <v>-1.6688311688311688</v>
      </c>
      <c r="BM18" s="905">
        <f>IF(ISNUMBER((Datos!P18-Datos!Q18)/(Datos!R18-Datos!P18+Datos!Q18)),(Datos!P18-Datos!Q18)/(Datos!R18-Datos!P18+Datos!Q18)," - ")</f>
        <v>-9.3596059113300489E-2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1672</v>
      </c>
      <c r="G19" s="820">
        <f t="shared" si="6"/>
        <v>1500</v>
      </c>
      <c r="H19" s="822">
        <f t="shared" si="6"/>
        <v>0</v>
      </c>
      <c r="I19" s="820">
        <f t="shared" si="6"/>
        <v>0</v>
      </c>
      <c r="J19" s="822">
        <f t="shared" si="6"/>
        <v>0</v>
      </c>
      <c r="K19" s="822">
        <f t="shared" si="6"/>
        <v>0</v>
      </c>
      <c r="L19" s="881">
        <f t="shared" si="6"/>
        <v>0</v>
      </c>
      <c r="M19" s="881">
        <f t="shared" si="6"/>
        <v>0</v>
      </c>
      <c r="N19" s="881">
        <f t="shared" si="6"/>
        <v>229</v>
      </c>
      <c r="O19" s="881">
        <f t="shared" si="6"/>
        <v>0</v>
      </c>
      <c r="P19" s="881">
        <f t="shared" si="6"/>
        <v>0</v>
      </c>
      <c r="Q19" s="822">
        <f t="shared" si="6"/>
        <v>639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2607</v>
      </c>
      <c r="AC19" s="821">
        <f t="shared" si="7"/>
        <v>667</v>
      </c>
      <c r="AD19" s="821">
        <f t="shared" si="7"/>
        <v>0</v>
      </c>
      <c r="AE19" s="821">
        <f t="shared" si="7"/>
        <v>0</v>
      </c>
      <c r="AF19" s="828">
        <f t="shared" si="7"/>
        <v>1802</v>
      </c>
      <c r="AG19" s="828">
        <f t="shared" si="7"/>
        <v>0</v>
      </c>
      <c r="AH19" s="828">
        <f t="shared" si="7"/>
        <v>180</v>
      </c>
      <c r="AI19" s="828">
        <f t="shared" si="7"/>
        <v>0</v>
      </c>
      <c r="AJ19" s="821">
        <f t="shared" si="7"/>
        <v>0</v>
      </c>
      <c r="AK19" s="828">
        <f t="shared" si="7"/>
        <v>0</v>
      </c>
      <c r="AL19" s="828">
        <f t="shared" si="7"/>
        <v>0</v>
      </c>
      <c r="AM19" s="828">
        <f t="shared" si="7"/>
        <v>8441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958</v>
      </c>
      <c r="BD19" s="820">
        <f t="shared" si="7"/>
        <v>3657</v>
      </c>
      <c r="BE19" s="820">
        <f t="shared" si="7"/>
        <v>0</v>
      </c>
      <c r="BF19" s="830">
        <f t="shared" si="7"/>
        <v>0</v>
      </c>
      <c r="BG19" s="915">
        <f>IF(ISNUMBER(Datos!K19/Datos!J19),Datos!K19/Datos!J19," - ")</f>
        <v>1.0527923951790867</v>
      </c>
      <c r="BH19" s="915">
        <f>IF(ISNUMBER(((Datos!L19/Datos!K19)*11)/factor_trimestre),((Datos!L19/Datos!K19)*11)/factor_trimestre," - ")</f>
        <v>4.9585617542728162</v>
      </c>
      <c r="BI19" s="813">
        <f>IF(ISNUMBER(Datos!J19/Datos!I19),Datos!J19/Datos!I19," - ")</f>
        <v>0.58326732673267323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-1.5592105263157894</v>
      </c>
      <c r="BM19" s="889">
        <f>IF(ISNUMBER((Datos!P19-Datos!Q19+R19)/(Datos!R19-Datos!P19+Datos!Q19-R19)),(Datos!P19-Datos!Q19+R19)/(Datos!R19-Datos!P19+Datos!Q19-R19)," - ")</f>
        <v>-3.3061754634549534E-3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500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2.8284271247461903</v>
      </c>
      <c r="F21" s="551">
        <f>IF(ISNUMBER(STDEV(F8:F18)),STDEV(F8:F18),"-")</f>
        <v>793.26363839520593</v>
      </c>
      <c r="G21" s="552">
        <f>IF(ISNUMBER(STDEV(G8:G18)),STDEV(G8:G18),"-")</f>
        <v>599.29692140040231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1195.5184649347746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277.89309352441887</v>
      </c>
      <c r="BD21" s="551"/>
      <c r="BE21" s="551">
        <f>IF(ISNUMBER(STDEV(BE8:BE18)),STDEV(BE8:BE18),"-")</f>
        <v>0</v>
      </c>
      <c r="BF21" s="556">
        <f>IF(ISNUMBER(STDEV(BF8:BF18)),STDEV(BF8:BF18),"-")</f>
        <v>0</v>
      </c>
      <c r="BG21" s="775">
        <f>IF(ISNUMBER(STDEV(BG8:BG18)),STDEV(BG8:BG18),"-")</f>
        <v>0.14782496957927335</v>
      </c>
      <c r="BH21" s="776">
        <f>IF(ISNUMBER(STDEV(BH8:BH18)),STDEV(BH8:BH18),"-")</f>
        <v>4.0147423194603</v>
      </c>
      <c r="BI21" s="249">
        <f>IF(ISNUMBER(STDEV(BI8:BI18)),STDEV(BI8:BI18),"-")</f>
        <v>5.5743290745420102E-2</v>
      </c>
      <c r="BJ21" s="230" t="str">
        <f>IF(ISNUMBER(BL21/BM21),BL21/BM21," - ")</f>
        <v xml:space="preserve"> - </v>
      </c>
      <c r="BK21" s="575"/>
      <c r="BL21" s="559">
        <f>IF(ISNUMBER(STDEV(BL8:BL18)),STDEV(BL8:BL18),"-")</f>
        <v>0.98183766262158034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2nYX3OaNtHHECCbeQOsO9EFrJvg6s5G2hkYZyzK/g0nGQkodBnZgHcCG2vKgrBdJ/7Zj4rtP8fFFJb9p9i7NA==" saltValue="20i6q7n51PQvKlnI4oF4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TORREJON DE ARDOZ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544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529</v>
      </c>
      <c r="AA9" s="332" t="str">
        <f>IF(ISNUMBER(IF(J_V="SI",Datos!L9,Datos!L9+Datos!AB9)-IF(Monitorios="SI",Datos!CD9,0)),
                          IF(J_V="SI",Datos!L9,Datos!L9+Datos!AB9)-IF(Monitorios="SI",Datos!CD9,0),
                          " - ")</f>
        <v xml:space="preserve"> - </v>
      </c>
      <c r="AB9" s="334"/>
      <c r="AC9" s="334"/>
      <c r="AD9" s="484"/>
      <c r="AE9" s="484">
        <f>IF(ISNUMBER(Datos!R9),Datos!R9," - ")</f>
        <v>8004</v>
      </c>
      <c r="AF9" s="229" t="str">
        <f>IF(ISNUMBER(Datos!BV9),Datos!BV9," - ")</f>
        <v xml:space="preserve"> - </v>
      </c>
      <c r="AG9" s="225" t="str">
        <f>IF(ISNUMBER(Datos!DV9),Datos!DV9," - ")</f>
        <v xml:space="preserve"> - </v>
      </c>
      <c r="AH9" s="298"/>
      <c r="AI9" s="227"/>
      <c r="AJ9" s="225">
        <f>IF(ISNUMBER(Datos!M9),Datos!M9," - ")</f>
        <v>624</v>
      </c>
      <c r="AK9" s="229">
        <f>IF(ISNUMBER(Datos!N9),Datos!N9," - ")</f>
        <v>2180</v>
      </c>
      <c r="AL9" s="229" t="str">
        <f>IF(ISNUMBER(Datos!BW9),Datos!BW9," - ")</f>
        <v xml:space="preserve"> - </v>
      </c>
      <c r="AM9" s="228" t="str">
        <f>IF(ISNUMBER(Datos!BX9),Datos!BX9," - ")</f>
        <v xml:space="preserve"> - </v>
      </c>
      <c r="AN9" s="243"/>
      <c r="AO9" s="260">
        <f>IF(ISNUMBER(((NºAsuntos!I9/NºAsuntos!G9)*11)/factor_trimestre),((NºAsuntos!I9/NºAsuntos!G9)*11)/factor_trimestre," - ")</f>
        <v>6.746677091477717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1.8775816748028539E-3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132</v>
      </c>
      <c r="G10" s="225">
        <f>IF(ISNUMBER(Datos!I10),Datos!I10," - ")</f>
        <v>132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8</v>
      </c>
      <c r="AA10" s="332">
        <f>IF(ISNUMBER(Datos!L10),Datos!L10,"-")</f>
        <v>145</v>
      </c>
      <c r="AB10" s="334"/>
      <c r="AC10" s="334"/>
      <c r="AD10" s="484"/>
      <c r="AE10" s="484">
        <f>IF(ISNUMBER(Datos!R10),Datos!R10," - ")</f>
        <v>69</v>
      </c>
      <c r="AF10" s="229" t="str">
        <f>IF(ISNUMBER(Datos!BV10),Datos!BV10," - ")</f>
        <v xml:space="preserve"> - </v>
      </c>
      <c r="AG10" s="225" t="str">
        <f>IF(ISNUMBER(Datos!DV10),Datos!DV10," - ")</f>
        <v xml:space="preserve"> - </v>
      </c>
      <c r="AH10" s="298"/>
      <c r="AI10" s="227"/>
      <c r="AJ10" s="225">
        <f>IF(ISNUMBER(Datos!M10),Datos!M10," - ")</f>
        <v>20</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11.756756756756756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-6.7567567567567571E-2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132</v>
      </c>
      <c r="G13" s="898">
        <f>SUBTOTAL(9,G8:G12)</f>
        <v>132</v>
      </c>
      <c r="H13" s="908"/>
      <c r="I13" s="898">
        <f t="shared" ref="I13:N13" si="0">SUBTOTAL(9,I8:I12)</f>
        <v>0</v>
      </c>
      <c r="J13" s="867">
        <f t="shared" si="0"/>
        <v>0</v>
      </c>
      <c r="K13" s="908">
        <f t="shared" si="0"/>
        <v>0</v>
      </c>
      <c r="L13" s="908">
        <f t="shared" si="0"/>
        <v>0</v>
      </c>
      <c r="M13" s="908">
        <f t="shared" si="0"/>
        <v>0</v>
      </c>
      <c r="N13" s="908">
        <f t="shared" si="0"/>
        <v>547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537</v>
      </c>
      <c r="AA13" s="900">
        <f t="shared" si="2"/>
        <v>145</v>
      </c>
      <c r="AB13" s="900">
        <f t="shared" si="2"/>
        <v>0</v>
      </c>
      <c r="AC13" s="900">
        <f t="shared" si="2"/>
        <v>0</v>
      </c>
      <c r="AD13" s="900">
        <f t="shared" si="2"/>
        <v>0</v>
      </c>
      <c r="AE13" s="900">
        <f t="shared" si="2"/>
        <v>8073</v>
      </c>
      <c r="AF13" s="908">
        <f t="shared" si="2"/>
        <v>0</v>
      </c>
      <c r="AG13" s="908">
        <f t="shared" si="2"/>
        <v>0</v>
      </c>
      <c r="AH13" s="908">
        <f t="shared" si="2"/>
        <v>0</v>
      </c>
      <c r="AI13" s="908">
        <f t="shared" si="2"/>
        <v>0</v>
      </c>
      <c r="AJ13" s="908">
        <f t="shared" si="2"/>
        <v>644</v>
      </c>
      <c r="AK13" s="908">
        <f t="shared" si="2"/>
        <v>2187</v>
      </c>
      <c r="AL13" s="908">
        <f t="shared" si="2"/>
        <v>0</v>
      </c>
      <c r="AM13" s="908">
        <f t="shared" si="2"/>
        <v>0</v>
      </c>
      <c r="AN13" s="908">
        <f t="shared" si="2"/>
        <v>0</v>
      </c>
      <c r="AO13" s="904">
        <f>IF(ISNUMBER(((NºAsuntos!I13/NºAsuntos!G13)*11)/factor_trimestre),((NºAsuntos!I13/NºAsuntos!G13)*11)/factor_trimestre," - ")</f>
        <v>6.7945276200309763</v>
      </c>
      <c r="AP13" s="910" t="str">
        <f>IF(ISNUMBER(Datos!CI13/Datos!CJ13),Datos!CI13/Datos!CJ13," - ")</f>
        <v xml:space="preserve"> - </v>
      </c>
      <c r="AQ13" s="928">
        <f t="shared" ref="AQ13:AV13" si="3">SUBTOTAL(9,AQ9:AQ12)</f>
        <v>0</v>
      </c>
      <c r="AR13" s="928">
        <f t="shared" si="3"/>
        <v>-6.5689985892764716E-2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1532</v>
      </c>
      <c r="G15" s="225">
        <f>IF(ISNUMBER(IF(D_I="SI",Datos!I15,Datos!I15+Datos!AC15)),IF(D_I="SI",Datos!I15,Datos!I15+Datos!AC15)," - ")</f>
        <v>1162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2225</v>
      </c>
      <c r="Z15" s="619">
        <f>IF(ISNUMBER(Datos!Q15),Datos!Q15," - ")</f>
        <v>130</v>
      </c>
      <c r="AA15" s="332">
        <f>IF(ISNUMBER(IF(D_I="SI",Datos!L15,Datos!L15+Datos!AF15)),IF(D_I="SI",Datos!L15,Datos!L15+Datos!AF15)," - ")</f>
        <v>1417</v>
      </c>
      <c r="AB15" s="334"/>
      <c r="AC15" s="334"/>
      <c r="AD15" s="484"/>
      <c r="AE15" s="484">
        <f>IF(ISNUMBER(Datos!R15),Datos!R15," - ")</f>
        <v>359</v>
      </c>
      <c r="AF15" s="229" t="str">
        <f>IF(ISNUMBER(Datos!BV15),Datos!BV15," - ")</f>
        <v xml:space="preserve"> - </v>
      </c>
      <c r="AG15" s="225"/>
      <c r="AH15" s="298"/>
      <c r="AI15" s="227"/>
      <c r="AJ15" s="225">
        <f>IF(ISNUMBER(Datos!M15),Datos!M15," - ")</f>
        <v>290</v>
      </c>
      <c r="AK15" s="229">
        <f>IF(ISNUMBER(Datos!N15),Datos!N15," - ")</f>
        <v>1288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1.9105617977528091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8</v>
      </c>
      <c r="G16" s="225">
        <f>IF(ISNUMBER(IF(D_I="SI",Datos!I16,Datos!I16+Datos!AC16)),IF(D_I="SI",Datos!I16,Datos!I16+Datos!AC16)," - ")</f>
        <v>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8</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198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345</v>
      </c>
      <c r="Z17" s="619">
        <f>IF(ISNUMBER(Datos!Q17),Datos!Q17," - ")</f>
        <v>0</v>
      </c>
      <c r="AA17" s="332">
        <f>IF(ISNUMBER(Datos!L17),Datos!L17,"-")</f>
        <v>232</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24</v>
      </c>
      <c r="AK17" s="229">
        <f>IF(ISNUMBER(Datos!N17),Datos!N17," - ")</f>
        <v>182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2.017391304347826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1540</v>
      </c>
      <c r="G18" s="898">
        <f>SUBTOTAL(9,G15:G17)</f>
        <v>1368</v>
      </c>
      <c r="H18" s="932">
        <f>SUBTOTAL(9,H15:H17)</f>
        <v>0</v>
      </c>
      <c r="I18" s="911">
        <f>SUBTOTAL(9,I15:I17)</f>
        <v>0</v>
      </c>
      <c r="J18" s="867">
        <f>SUBTOTAL(9,J14:J17)</f>
        <v>0</v>
      </c>
      <c r="K18" s="932">
        <f t="shared" ref="K18:S18" si="4">SUBTOTAL(9,K15:K17)</f>
        <v>0</v>
      </c>
      <c r="L18" s="932">
        <f t="shared" si="4"/>
        <v>0</v>
      </c>
      <c r="M18" s="932">
        <f t="shared" si="4"/>
        <v>0</v>
      </c>
      <c r="N18" s="932">
        <f t="shared" si="4"/>
        <v>92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2570</v>
      </c>
      <c r="Z18" s="932">
        <f t="shared" si="5"/>
        <v>130</v>
      </c>
      <c r="AA18" s="932">
        <f t="shared" si="5"/>
        <v>1657</v>
      </c>
      <c r="AB18" s="932">
        <f t="shared" si="5"/>
        <v>0</v>
      </c>
      <c r="AC18" s="932">
        <f t="shared" si="5"/>
        <v>0</v>
      </c>
      <c r="AD18" s="932">
        <f t="shared" si="5"/>
        <v>0</v>
      </c>
      <c r="AE18" s="932">
        <f t="shared" si="5"/>
        <v>368</v>
      </c>
      <c r="AF18" s="932">
        <f t="shared" si="5"/>
        <v>0</v>
      </c>
      <c r="AG18" s="932">
        <f t="shared" si="5"/>
        <v>0</v>
      </c>
      <c r="AH18" s="932">
        <f t="shared" si="5"/>
        <v>0</v>
      </c>
      <c r="AI18" s="932">
        <f t="shared" si="5"/>
        <v>0</v>
      </c>
      <c r="AJ18" s="932">
        <f t="shared" si="5"/>
        <v>314</v>
      </c>
      <c r="AK18" s="932">
        <f t="shared" si="5"/>
        <v>1470</v>
      </c>
      <c r="AL18" s="932">
        <f t="shared" si="5"/>
        <v>0</v>
      </c>
      <c r="AM18" s="932">
        <f t="shared" si="5"/>
        <v>0</v>
      </c>
      <c r="AN18" s="932">
        <f t="shared" si="5"/>
        <v>0</v>
      </c>
      <c r="AO18" s="934">
        <f>IF(ISNUMBER(((NºAsuntos!I18/NºAsuntos!G18)*11)/factor_trimestre),((NºAsuntos!I18/NºAsuntos!G18)*11)/factor_trimestre," - ")</f>
        <v>1.934241245136187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1672</v>
      </c>
      <c r="G19" s="820">
        <f t="shared" si="7"/>
        <v>1500</v>
      </c>
      <c r="H19" s="821">
        <f t="shared" si="7"/>
        <v>0</v>
      </c>
      <c r="I19" s="820">
        <f t="shared" si="7"/>
        <v>0</v>
      </c>
      <c r="J19" s="822">
        <f t="shared" si="7"/>
        <v>0</v>
      </c>
      <c r="K19" s="820">
        <f t="shared" si="7"/>
        <v>0</v>
      </c>
      <c r="L19" s="823">
        <f t="shared" si="7"/>
        <v>0</v>
      </c>
      <c r="M19" s="820">
        <f t="shared" si="7"/>
        <v>0</v>
      </c>
      <c r="N19" s="821">
        <f t="shared" si="7"/>
        <v>639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2607</v>
      </c>
      <c r="Z19" s="827">
        <f t="shared" si="8"/>
        <v>667</v>
      </c>
      <c r="AA19" s="828">
        <f t="shared" si="8"/>
        <v>1802</v>
      </c>
      <c r="AB19" s="828">
        <f t="shared" si="8"/>
        <v>0</v>
      </c>
      <c r="AC19" s="828">
        <f t="shared" si="8"/>
        <v>0</v>
      </c>
      <c r="AD19" s="829">
        <f t="shared" si="8"/>
        <v>0</v>
      </c>
      <c r="AE19" s="829">
        <f t="shared" si="8"/>
        <v>8441</v>
      </c>
      <c r="AF19" s="830">
        <f t="shared" si="8"/>
        <v>0</v>
      </c>
      <c r="AG19" s="831">
        <f t="shared" si="8"/>
        <v>0</v>
      </c>
      <c r="AH19" s="832">
        <f t="shared" si="8"/>
        <v>0</v>
      </c>
      <c r="AI19" s="830">
        <f t="shared" si="8"/>
        <v>0</v>
      </c>
      <c r="AJ19" s="820">
        <f t="shared" si="8"/>
        <v>958</v>
      </c>
      <c r="AK19" s="820">
        <f t="shared" si="8"/>
        <v>3657</v>
      </c>
      <c r="AL19" s="820">
        <f t="shared" si="8"/>
        <v>0</v>
      </c>
      <c r="AM19" s="833">
        <f t="shared" si="8"/>
        <v>0</v>
      </c>
      <c r="AN19" s="823">
        <f>IF(ISNUMBER(Datos!K19/Datos!J19),Datos!K19/Datos!J19," - ")</f>
        <v>1.0527923951790867</v>
      </c>
      <c r="AO19" s="823">
        <f>IF(ISNUMBER(FIND("06",Criterios!A8,1)),(IF(ISNUMBER(((Datos!R19/Datos!Q19)*11)/factor_trimestre),((Datos!R19/Datos!Q19)*11)/factor_trimestre," - ")),(IF(ISNUMBER(((Datos!L19/Datos!K19)*11)/factor_trimestre),((Datos!L19/Datos!K19)*11)/factor_trimestre," - ")))</f>
        <v>4.9585617542728162</v>
      </c>
      <c r="AP19" s="834" t="str">
        <f>IF(ISNUMBER(Datos!CI19/Datos!CJ19),Datos!CI19/Datos!CJ19," - ")</f>
        <v xml:space="preserve"> - </v>
      </c>
      <c r="AQ19" s="834">
        <f>IF(OR(ISNUMBER(FIND("01",Criterios!A8,1)),ISNUMBER(FIND("02",Criterios!A8,1)),ISNUMBER(FIND("03",Criterios!A8,1)),ISNUMBER(FIND("04",Criterios!A8,1))),(J19-Y19+K19)/(F19-K19),(I19-Y19+K19)/(F19-K19))</f>
        <v>-1.5592105263157894</v>
      </c>
      <c r="AR19" s="834">
        <f>IF(ISNUMBER((Datos!P19-Datos!Q19+O19)/(Datos!R19-Datos!P19+Datos!Q19-O19)),(Datos!P19-Datos!Q19+O19)/(Datos!R19-Datos!P19+Datos!Q19-O19)," - ")</f>
        <v>-3.3061754634549534E-3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500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793.26363839520593</v>
      </c>
      <c r="G21" s="552">
        <f>IF(ISNUMBER(STDEV(G8:G18)),STDEV(G8:G18),"-")</f>
        <v>599.29692140040231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277.89309352441887</v>
      </c>
      <c r="AK21" s="252"/>
      <c r="AL21" s="252">
        <f>IF(ISNUMBER(STDEV(AL8:AL18)),STDEV(AL8:AL18),"-")</f>
        <v>0</v>
      </c>
      <c r="AM21" s="254">
        <f>IF(ISNUMBER(STDEV(AM8:AM18)),STDEV(AM8:AM18),"-")</f>
        <v>0</v>
      </c>
      <c r="AN21" s="539">
        <f>IF(ISNUMBER(STDEV(AN8:AN18)),STDEV(AN8:AN18),"-")</f>
        <v>0</v>
      </c>
      <c r="AO21" s="540">
        <f>IF(ISNUMBER(STDEV(AO8:AO18)),STDEV(AO8:AO18),"-")</f>
        <v>3.9884860529143054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chA0FfUQspe3E9c+c7n00gnMPSHVBzkI4y6g7ZXoRRNL2NC+rBLVxi/HvgmkN0R1hhz+jCJRGbDO+WT2LfOrQ==" saltValue="KhoLfXO2Ege6usTMQ+Ef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LcujY/AYC/R1QfVezs4d0ziuBLcZL+60BKPzTzTXtE5NIkRxIOz7oUhdJMw88A/VHK/wTkEey6YvXmRP4XqKw==" saltValue="abkuHmZWiNN1hJQ60NVK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8lSijw6wG/oJYRMBpptioO2XipI0c6mgbvGSjtdwFG/9ileKFqi8A43ZOHqZfRAMwv0dO8Xrj6U0rkgX1DGAg==" saltValue="+KtudaMvi5Br5yen/8Vt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TORREJON DE ARDOZ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0.16623644811564275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0.11754691974293667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F4SCTWQoX9av50Rp60QrCyWm7AZBUSH8kuiJrRhtFW7Dp2zIopH93fXscZEO/x/zyEIRbBLDx1NVWvXrEKojg==" saltValue="4lroaCKUCN8cB2EdxYhi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i0y2psShKrWHdVfocU0PZ+2EPBIqaUB6jQPNEks8wmCtW2BpwifYV0b8VCXB5A0ZMWn33BFW8S4fFdsyUJewfw==" saltValue="siilFqHcCAuVFYY98y3g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TORREJON DE ARDOZ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8793</v>
      </c>
      <c r="D9" s="404">
        <f>IF(ISNUMBER(C9/Datos!BH9),C9/Datos!BH9," - ")</f>
        <v>1465.5</v>
      </c>
      <c r="E9" s="403">
        <f>IF(ISNUMBER(IF(J_V="SI",Datos!J9,Datos!J9+Datos!Z9)),IF(J_V="SI",Datos!J9,Datos!J9+Datos!Z9)," - ")</f>
        <v>3668</v>
      </c>
      <c r="F9" s="404">
        <f>IF(ISNUMBER(E9/B9),E9/B9," - ")</f>
        <v>611.33333333333337</v>
      </c>
      <c r="G9" s="403">
        <f>IF(ISNUMBER(IF(J_V="SI",Datos!K9,Datos!K9+Datos!AA9)),IF(J_V="SI",Datos!K9,Datos!K9+Datos!AA9)," - ")</f>
        <v>3837</v>
      </c>
      <c r="H9" s="404">
        <f>IF(ISNUMBER(G9/B9),G9/B9," - ")</f>
        <v>639.5</v>
      </c>
      <c r="I9" s="403">
        <f>IF(ISNUMBER(IF(J_V="SI",Datos!L9,Datos!L9+Datos!AB9)),IF(J_V="SI",Datos!L9,Datos!L9+Datos!AB9)," - ")</f>
        <v>8629</v>
      </c>
      <c r="J9" s="404">
        <f>IF(ISNUMBER(I9/B9),I9/B9," - ")</f>
        <v>1438.1666666666667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132</v>
      </c>
      <c r="D10" s="404">
        <f>IF(ISNUMBER(C10/Datos!BH10),C10/Datos!BH10," - ")</f>
        <v>132</v>
      </c>
      <c r="E10" s="403">
        <f>IF(ISNUMBER(Datos!J10),Datos!J10," - ")</f>
        <v>50</v>
      </c>
      <c r="F10" s="404">
        <f>IF(ISNUMBER(E10/B10),E10/B10," - ")</f>
        <v>50</v>
      </c>
      <c r="G10" s="403">
        <f>IF(ISNUMBER(Datos!K10),Datos!K10," - ")</f>
        <v>37</v>
      </c>
      <c r="H10" s="404">
        <f>IF(ISNUMBER(G10/B10),G10/B10," - ")</f>
        <v>37</v>
      </c>
      <c r="I10" s="403">
        <f>IF(ISNUMBER(Datos!L10),Datos!L10," - ")</f>
        <v>145</v>
      </c>
      <c r="J10" s="404">
        <f>IF(ISNUMBER(I10/B10),I10/B10," - ")</f>
        <v>145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8925</v>
      </c>
      <c r="D13" s="850" t="str">
        <f>IF(ISNUMBER(C13/Datos!BI13),C13/Datos!BI13," - ")</f>
        <v xml:space="preserve"> - </v>
      </c>
      <c r="E13" s="849">
        <f>SUBTOTAL(9,E8:E12)</f>
        <v>3718</v>
      </c>
      <c r="F13" s="850">
        <f>IF(ISNUMBER(E13/B13),E13/B13," - ")</f>
        <v>531.14285714285711</v>
      </c>
      <c r="G13" s="849">
        <f>SUBTOTAL(9,G8:G12)</f>
        <v>3874</v>
      </c>
      <c r="H13" s="850">
        <f>IF(ISNUMBER(G13/B13),G13/B13," - ")</f>
        <v>553.42857142857144</v>
      </c>
      <c r="I13" s="849">
        <f>SUBTOTAL(9,I8:I12)</f>
        <v>8774</v>
      </c>
      <c r="J13" s="850">
        <f>IF(ISNUMBER(I13/B13),I13/B13," - ")</f>
        <v>1253.4285714285713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1162</v>
      </c>
      <c r="D15" s="404">
        <f>IF(ISNUMBER(C15/Datos!BH15),C15/Datos!BH15," - ")</f>
        <v>290.5</v>
      </c>
      <c r="E15" s="403">
        <f>IF(ISNUMBER(IF(D_I="SI",Datos!J15,Datos!J15+Datos!AD15)),IF(D_I="SI",Datos!J15,Datos!J15+Datos!AD15)," - ")</f>
        <v>2110</v>
      </c>
      <c r="F15" s="404">
        <f>IF(ISNUMBER(E15/B15),E15/B15," - ")</f>
        <v>527.5</v>
      </c>
      <c r="G15" s="403">
        <f>IF(ISNUMBER(IF(D_I="SI",Datos!K15,Datos!K15+Datos!AE15)),IF(D_I="SI",Datos!K15,Datos!K15+Datos!AE15)," - ")</f>
        <v>2225</v>
      </c>
      <c r="H15" s="404">
        <f>IF(ISNUMBER(G15/B15),G15/B15," - ")</f>
        <v>556.25</v>
      </c>
      <c r="I15" s="403">
        <f>IF(ISNUMBER(IF(D_I="SI",Datos!L15,Datos!L15+Datos!AF15)),IF(D_I="SI",Datos!L15,Datos!L15+Datos!AF15)," - ")</f>
        <v>1417</v>
      </c>
      <c r="J15" s="404">
        <f>IF(ISNUMBER(I15/B15),I15/B15," - ")</f>
        <v>354.25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8</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8</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198</v>
      </c>
      <c r="D17" s="404">
        <f>IF(ISNUMBER(C17/Datos!BH17),C17/Datos!BH17," - ")</f>
        <v>198</v>
      </c>
      <c r="E17" s="403">
        <f>IF(ISNUMBER(IF(D_I="SI",Datos!J17,Datos!J17+Datos!AD17)),IF(D_I="SI",Datos!J17,Datos!J17+Datos!AD17)," - ")</f>
        <v>292</v>
      </c>
      <c r="F17" s="404">
        <f>IF(ISNUMBER(E17/B17),E17/B17," - ")</f>
        <v>292</v>
      </c>
      <c r="G17" s="403">
        <f>IF(ISNUMBER(IF(D_I="SI",Datos!K17,Datos!K17+Datos!AE17)),IF(D_I="SI",Datos!K17,Datos!K17+Datos!AE17)," - ")</f>
        <v>345</v>
      </c>
      <c r="H17" s="404">
        <f>IF(ISNUMBER(G17/B17),G17/B17," - ")</f>
        <v>345</v>
      </c>
      <c r="I17" s="403">
        <f>IF(ISNUMBER(IF(D_I="SI",Datos!L17,Datos!L17+Datos!AF17)),IF(D_I="SI",Datos!L17,Datos!L17+Datos!AF17)," - ")</f>
        <v>232</v>
      </c>
      <c r="J17" s="404">
        <f>IF(ISNUMBER(I17/B17),I17/B17," - ")</f>
        <v>232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1368</v>
      </c>
      <c r="D18" s="850" t="str">
        <f>IF(ISNUMBER(C18/Datos!BI18),C18/Datos!BI18," - ")</f>
        <v xml:space="preserve"> - </v>
      </c>
      <c r="E18" s="849">
        <f>SUBTOTAL(9,E14:E17)</f>
        <v>2402</v>
      </c>
      <c r="F18" s="850">
        <f>IF(ISNUMBER(E18/B18),E18/B18," - ")</f>
        <v>480.4</v>
      </c>
      <c r="G18" s="849">
        <f>SUBTOTAL(9,G14:G17)</f>
        <v>2570</v>
      </c>
      <c r="H18" s="850">
        <f>IF(ISNUMBER(G18/B18),G18/B18," - ")</f>
        <v>514</v>
      </c>
      <c r="I18" s="849">
        <f>SUBTOTAL(9,I14:I17)</f>
        <v>1657</v>
      </c>
      <c r="J18" s="850">
        <f>IF(ISNUMBER(I18/B18),I18/B18," - ")</f>
        <v>331.4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11</v>
      </c>
      <c r="C19" s="794">
        <f>SUBTOTAL(9,C9:C18)</f>
        <v>10293</v>
      </c>
      <c r="D19" s="795" t="str">
        <f>IF(ISNUMBER(C19/Datos!BI19),C19/Datos!BI19," - ")</f>
        <v xml:space="preserve"> - </v>
      </c>
      <c r="E19" s="794">
        <f>SUBTOTAL(9,E9:E18)</f>
        <v>6120</v>
      </c>
      <c r="F19" s="795">
        <f>IF(ISNUMBER(E19/B19),E19/B19," - ")</f>
        <v>556.36363636363637</v>
      </c>
      <c r="G19" s="794">
        <f>SUBTOTAL(9,G9:G18)</f>
        <v>6444</v>
      </c>
      <c r="H19" s="795">
        <f>IF(ISNUMBER(G19/B19),G19/B19," - ")</f>
        <v>585.81818181818187</v>
      </c>
      <c r="I19" s="794">
        <f>SUBTOTAL(9,I9:I18)</f>
        <v>10431</v>
      </c>
      <c r="J19" s="795">
        <f>IF(ISNUMBER(I19/B19),I19/B19," - ")</f>
        <v>948.27272727272725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D8FZ+CUSsQEpu5P4n4h4be1qMpkstADDzQn68pSMpjg0pxQPoUI4mGW2yMGZwbytFd8N8dGiEe4FSkm/VE1xA==" saltValue="0Q0w7ThQpE6cLPWyrd2m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TORREJON DE ARDOZ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132</v>
      </c>
      <c r="G10" s="684">
        <f>IF(ISNUMBER(Datos!I10),Datos!I10," - ")</f>
        <v>132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145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11.756756756756756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132</v>
      </c>
      <c r="G13" s="938">
        <f t="shared" si="0"/>
        <v>132</v>
      </c>
      <c r="H13" s="938">
        <f t="shared" si="0"/>
        <v>0</v>
      </c>
      <c r="I13" s="940">
        <f t="shared" si="0"/>
        <v>0</v>
      </c>
      <c r="J13" s="939">
        <f t="shared" si="0"/>
        <v>0</v>
      </c>
      <c r="K13" s="939">
        <f t="shared" si="0"/>
        <v>0</v>
      </c>
      <c r="L13" s="941">
        <f t="shared" si="0"/>
        <v>0</v>
      </c>
      <c r="M13" s="941">
        <f t="shared" si="0"/>
        <v>0</v>
      </c>
      <c r="N13" s="939">
        <f t="shared" si="0"/>
        <v>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0</v>
      </c>
      <c r="AE13" s="939">
        <f t="shared" si="1"/>
        <v>0</v>
      </c>
      <c r="AF13" s="939">
        <f t="shared" si="1"/>
        <v>145</v>
      </c>
      <c r="AG13" s="939">
        <f t="shared" si="1"/>
        <v>0</v>
      </c>
      <c r="AH13" s="939">
        <f t="shared" si="1"/>
        <v>0</v>
      </c>
      <c r="AI13" s="939">
        <f t="shared" si="1"/>
        <v>0</v>
      </c>
      <c r="AJ13" s="939">
        <f t="shared" si="1"/>
        <v>0</v>
      </c>
      <c r="AK13" s="939">
        <f t="shared" si="1"/>
        <v>0</v>
      </c>
      <c r="AL13" s="939">
        <f t="shared" si="1"/>
        <v>20</v>
      </c>
      <c r="AM13" s="939">
        <f t="shared" si="1"/>
        <v>7</v>
      </c>
      <c r="AN13" s="939">
        <f t="shared" si="1"/>
        <v>0</v>
      </c>
      <c r="AO13" s="939">
        <f t="shared" si="1"/>
        <v>0</v>
      </c>
      <c r="AP13" s="944">
        <f>IF(ISNUMBER(((Datos!L13/Datos!K13)*11)/factor_trimestre),((Datos!L13/Datos!K13)*11)/factor_trimestre," - ")</f>
        <v>7.0985682819383262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-0.28030303030303028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1.934241245136187</v>
      </c>
      <c r="AQ18" s="944">
        <f>IF(ISNUMBER(((Datos!M18/Datos!L18)*11)/factor_trimestre),((Datos!M18/Datos!L18)*11)/factor_trimestre," - ")</f>
        <v>0.5684972842486421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-9.3596059113300489E-2</v>
      </c>
      <c r="AW18" s="946">
        <f>IF(ISNUMBER((Datos!Q18-Datos!R18)/(Datos!S18-Datos!Q18+Datos!R18)),(Datos!Q18-Datos!R18)/(Datos!S18-Datos!Q18+Datos!R18)," - ")</f>
        <v>-0.15484710474951205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132</v>
      </c>
      <c r="G19" s="951">
        <f t="shared" si="4"/>
        <v>132</v>
      </c>
      <c r="H19" s="951">
        <f t="shared" si="4"/>
        <v>0</v>
      </c>
      <c r="I19" s="952">
        <f t="shared" si="4"/>
        <v>0</v>
      </c>
      <c r="J19" s="953">
        <f t="shared" si="4"/>
        <v>0</v>
      </c>
      <c r="K19" s="953">
        <f t="shared" si="4"/>
        <v>0</v>
      </c>
      <c r="L19" s="953">
        <f t="shared" si="4"/>
        <v>0</v>
      </c>
      <c r="M19" s="953">
        <f t="shared" si="4"/>
        <v>0</v>
      </c>
      <c r="N19" s="952">
        <f t="shared" si="4"/>
        <v>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0</v>
      </c>
      <c r="AE19" s="957">
        <f t="shared" si="5"/>
        <v>0</v>
      </c>
      <c r="AF19" s="958">
        <f t="shared" si="5"/>
        <v>145</v>
      </c>
      <c r="AG19" s="958">
        <f t="shared" si="5"/>
        <v>0</v>
      </c>
      <c r="AH19" s="958">
        <f t="shared" si="5"/>
        <v>0</v>
      </c>
      <c r="AI19" s="958">
        <f t="shared" si="5"/>
        <v>0</v>
      </c>
      <c r="AJ19" s="959">
        <f t="shared" si="5"/>
        <v>0</v>
      </c>
      <c r="AK19" s="959">
        <f t="shared" si="5"/>
        <v>0</v>
      </c>
      <c r="AL19" s="951">
        <f t="shared" si="5"/>
        <v>20</v>
      </c>
      <c r="AM19" s="951">
        <f t="shared" si="5"/>
        <v>7</v>
      </c>
      <c r="AN19" s="951">
        <f t="shared" si="5"/>
        <v>0</v>
      </c>
      <c r="AO19" s="951">
        <f t="shared" si="5"/>
        <v>0</v>
      </c>
      <c r="AP19" s="951">
        <f>IF(ISNUMBER(((Datos!L19/Datos!K19)*11)/factor_trimestre),((Datos!L19/Datos!K19)*11)/factor_trimestre," - ")</f>
        <v>4.9585617542728162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-0.28030303030303028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-3.3061754634549534E-3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76.210235533030598</v>
      </c>
      <c r="G21" s="737">
        <f>IF(ISNUMBER(STDEV(G8:G18)),STDEV(G8:G18),"-")</f>
        <v>76.210235533030598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11.547005383792515</v>
      </c>
      <c r="AM21" s="736"/>
      <c r="AN21" s="736">
        <f>IF(ISNUMBER(STDEV(AN8:AN18)),STDEV(AN8:AN18),"-")</f>
        <v>0</v>
      </c>
      <c r="AO21" s="742">
        <f>IF(ISNUMBER(STDEV(AO8:AO18)),STDEV(AO8:AO18),"-")</f>
        <v>0</v>
      </c>
      <c r="AP21" s="779">
        <f>IF(ISNUMBER(STDEV(AP8:AP18)),STDEV(AP8:AP18),"-")</f>
        <v>4.9134306512185466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LQoboUIFugOdE5EDYfQBAZVTOikioF/qbI8eO1AViKQGYv8w6ke18KAlY5UXg0vB1w+6Hl86GC8w3Mh9NQEuA==" saltValue="M76udtSG2QR9Y7pDJL0W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TORREJON DE ARDOZ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qek0qKkWxvJUiZTboZLAX/0FlGi42nlt+yHbwVGYWnkWPHU3DwjCAU8yhYRam0u1EpgyO2jxc1EXbHfnbLdw==" saltValue="LkE4jD3dXrxUOogpzfcu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TORREJON DE ARDOZ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624</v>
      </c>
      <c r="E9" s="404">
        <f t="shared" ref="E9:E13" si="0">IF(ISNUMBER(D9/B9),D9/B9," - ")</f>
        <v>104</v>
      </c>
      <c r="F9" s="403">
        <f>IF(ISNUMBER(Datos!N9),Datos!N9," - ")</f>
        <v>2180</v>
      </c>
      <c r="G9" s="404">
        <f t="shared" ref="G9:G13" si="1">IF(ISNUMBER(F9/B9),F9/B9," - ")</f>
        <v>363.33333333333331</v>
      </c>
      <c r="H9" s="403">
        <f>IF(ISNUMBER(Datos!O9),Datos!O9," - ")</f>
        <v>1196</v>
      </c>
      <c r="I9" s="404">
        <f>IF(ISNUMBER(H9/B9),H9/B9," - ")</f>
        <v>199.33333333333334</v>
      </c>
    </row>
    <row r="10" spans="1:9">
      <c r="A10" s="402" t="str">
        <f>Datos!A10</f>
        <v>Jdos. Violencia contra la mujer</v>
      </c>
      <c r="B10" s="427">
        <f>Datos!AO10</f>
        <v>1</v>
      </c>
      <c r="C10" s="410">
        <f>Datos!AQ10</f>
        <v>1</v>
      </c>
      <c r="D10" s="403">
        <f>IF(ISNUMBER(Datos!M10),Datos!M10," - ")</f>
        <v>20</v>
      </c>
      <c r="E10" s="404">
        <f>IF(ISNUMBER(D10/B10),D10/B10," - ")</f>
        <v>20</v>
      </c>
      <c r="F10" s="403">
        <f>IF(ISNUMBER(Datos!N10),Datos!N10," - ")</f>
        <v>7</v>
      </c>
      <c r="G10" s="404">
        <f>IF(ISNUMBER(F10/B10),F10/B10," - ")</f>
        <v>7</v>
      </c>
      <c r="H10" s="403">
        <f>IF(ISNUMBER(Datos!O10),Datos!O10," - ")</f>
        <v>5</v>
      </c>
      <c r="I10" s="404">
        <f t="shared" ref="I10:I12" si="2">IF(ISNUMBER(H10/B10),H10/B10," - ")</f>
        <v>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7</v>
      </c>
      <c r="C13" s="851">
        <f>Datos!AR13</f>
        <v>7</v>
      </c>
      <c r="D13" s="849">
        <f>SUBTOTAL(9,D9:D12)</f>
        <v>644</v>
      </c>
      <c r="E13" s="850">
        <f t="shared" si="0"/>
        <v>92</v>
      </c>
      <c r="F13" s="849">
        <f>SUBTOTAL(9,F9:F12)</f>
        <v>2187</v>
      </c>
      <c r="G13" s="850">
        <f t="shared" si="1"/>
        <v>312.42857142857144</v>
      </c>
      <c r="H13" s="849">
        <f>SUBTOTAL(9,H9:H12)</f>
        <v>1201</v>
      </c>
      <c r="I13" s="850">
        <f>IF(ISNUMBER(H13/B13),H13/B13," - ")</f>
        <v>171.57142857142858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290</v>
      </c>
      <c r="E15" s="404">
        <f t="shared" ref="E15:E18" si="3">IF(ISNUMBER(D15/B15),D15/B15," - ")</f>
        <v>72.5</v>
      </c>
      <c r="F15" s="403">
        <f>IF(ISNUMBER(Datos!N15),Datos!N15," - ")</f>
        <v>1288</v>
      </c>
      <c r="G15" s="404">
        <f t="shared" ref="G15:G18" si="4">IF(ISNUMBER(F15/B15),F15/B15," - ")</f>
        <v>322</v>
      </c>
      <c r="H15" s="403">
        <f>IF(ISNUMBER(Datos!O15),Datos!O15," - ")</f>
        <v>73</v>
      </c>
      <c r="I15" s="404">
        <f t="shared" ref="I15:I17" si="5">IF(ISNUMBER(H15/B15),H15/B15," - ")</f>
        <v>18.25</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1</v>
      </c>
      <c r="D17" s="403">
        <f>IF(ISNUMBER(Datos!M17),Datos!M17," - ")</f>
        <v>24</v>
      </c>
      <c r="E17" s="404">
        <f>IF(ISNUMBER(D17/B17),D17/B17," - ")</f>
        <v>24</v>
      </c>
      <c r="F17" s="403">
        <f>IF(ISNUMBER(Datos!N17),Datos!N17," - ")</f>
        <v>182</v>
      </c>
      <c r="G17" s="404">
        <f>IF(ISNUMBER(F17/B17),F17/B17," - ")</f>
        <v>182</v>
      </c>
      <c r="H17" s="403">
        <f>IF(ISNUMBER(Datos!O17),Datos!O17," - ")</f>
        <v>0</v>
      </c>
      <c r="I17" s="404">
        <f t="shared" si="5"/>
        <v>0</v>
      </c>
    </row>
    <row r="18" spans="1:9" ht="14.25" thickTop="1" thickBot="1">
      <c r="A18" s="848" t="str">
        <f>Datos!A18</f>
        <v>TOTAL</v>
      </c>
      <c r="B18" s="849">
        <f>Datos!AO18</f>
        <v>5</v>
      </c>
      <c r="C18" s="851">
        <f>Datos!AR18</f>
        <v>5</v>
      </c>
      <c r="D18" s="849">
        <f>SUBTOTAL(9,D15:D17)</f>
        <v>314</v>
      </c>
      <c r="E18" s="850">
        <f t="shared" si="3"/>
        <v>62.8</v>
      </c>
      <c r="F18" s="849">
        <f>SUBTOTAL(9,F15:F17)</f>
        <v>1470</v>
      </c>
      <c r="G18" s="850">
        <f t="shared" si="4"/>
        <v>294</v>
      </c>
      <c r="H18" s="849">
        <f>SUBTOTAL(9,H15:H17)</f>
        <v>73</v>
      </c>
      <c r="I18" s="850">
        <f>IF(ISNUMBER(H18/B18),H18/B18," - ")</f>
        <v>14.6</v>
      </c>
    </row>
    <row r="19" spans="1:9" ht="14.25" thickTop="1" thickBot="1">
      <c r="A19" s="793" t="str">
        <f>Datos!A19</f>
        <v>TOTAL JURISDICCIONES</v>
      </c>
      <c r="B19" s="794">
        <f>Datos!AP19</f>
        <v>11</v>
      </c>
      <c r="C19" s="794">
        <f>Datos!AR19</f>
        <v>11</v>
      </c>
      <c r="D19" s="794">
        <f>SUBTOTAL(9,D8:D18)</f>
        <v>958</v>
      </c>
      <c r="E19" s="795">
        <f>IF(ISNUMBER(D19/B19),D19/B19," - ")</f>
        <v>87.090909090909093</v>
      </c>
      <c r="F19" s="794">
        <f>SUBTOTAL(9,F8:F18)</f>
        <v>3657</v>
      </c>
      <c r="G19" s="795">
        <f>IF(ISNUMBER(F19/B19),F19/B19," - ")</f>
        <v>332.45454545454544</v>
      </c>
      <c r="H19" s="794">
        <f>SUBTOTAL(9,H8:H18)</f>
        <v>1274</v>
      </c>
      <c r="I19" s="795">
        <f>IF(ISNUMBER(H19/B19),H19/B19," - ")</f>
        <v>115.81818181818181</v>
      </c>
    </row>
    <row r="22" spans="1:9">
      <c r="A22" s="391" t="str">
        <f>Criterios!A4</f>
        <v>Fecha Informe: 29 may. 2024</v>
      </c>
    </row>
    <row r="27" spans="1:9">
      <c r="A27" s="414"/>
    </row>
  </sheetData>
  <sheetProtection algorithmName="SHA-512" hashValue="gtI6TkLr9Yl7dAJto04AETJMJJzTpg3ns0Qk0jmHjsOyoaqEw7k75fEijKYVG+CA6rcrd/szqHnrWckVqWeIWw==" saltValue="fJXmpm0M2pgQXl6dNYo8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TORREJON DE ARDOZ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544</v>
      </c>
      <c r="C9" s="434">
        <f>IF(ISNUMBER(Datos!Q9),Datos!Q9," - ")</f>
        <v>529</v>
      </c>
      <c r="D9" s="408">
        <f>IF(ISNUMBER(Datos!R9),Datos!R9," - ")</f>
        <v>8004</v>
      </c>
    </row>
    <row r="10" spans="1:4">
      <c r="A10" s="402" t="str">
        <f>Datos!A10</f>
        <v>Jdos. Violencia contra la mujer</v>
      </c>
      <c r="B10" s="433">
        <f>IF(ISNUMBER(Datos!P10),Datos!P10," - ")</f>
        <v>3</v>
      </c>
      <c r="C10" s="434">
        <f>IF(ISNUMBER(Datos!Q10),Datos!Q10," - ")</f>
        <v>8</v>
      </c>
      <c r="D10" s="408">
        <f>IF(ISNUMBER(Datos!R10),Datos!R10," - ")</f>
        <v>69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547</v>
      </c>
      <c r="C13" s="853">
        <f>SUBTOTAL(9,C9:C12)</f>
        <v>537</v>
      </c>
      <c r="D13" s="851">
        <f>SUBTOTAL(9,D9:D12)</f>
        <v>8073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88</v>
      </c>
      <c r="C15" s="434">
        <f>IF(ISNUMBER(Datos!Q15),Datos!Q15," - ")</f>
        <v>130</v>
      </c>
      <c r="D15" s="408">
        <f>IF(ISNUMBER(Datos!R15),Datos!R15," - ")</f>
        <v>359</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4</v>
      </c>
      <c r="C17" s="434">
        <f>IF(ISNUMBER(Datos!Q17),Datos!Q17," - ")</f>
        <v>0</v>
      </c>
      <c r="D17" s="408">
        <f>IF(ISNUMBER(Datos!R17),Datos!R17," - ")</f>
        <v>9</v>
      </c>
    </row>
    <row r="18" spans="1:4" ht="14.25" thickTop="1" thickBot="1">
      <c r="A18" s="848" t="str">
        <f>Datos!A18</f>
        <v>TOTAL</v>
      </c>
      <c r="B18" s="849">
        <f>SUBTOTAL(9,B15:B17)</f>
        <v>92</v>
      </c>
      <c r="C18" s="853">
        <f>SUBTOTAL(9,C15:C17)</f>
        <v>130</v>
      </c>
      <c r="D18" s="851">
        <f>SUBTOTAL(9,D15:D17)</f>
        <v>368</v>
      </c>
    </row>
    <row r="19" spans="1:4" ht="16.5" customHeight="1" thickTop="1" thickBot="1">
      <c r="A19" s="793" t="str">
        <f>Datos!A19</f>
        <v>TOTAL JURISDICCIONES</v>
      </c>
      <c r="B19" s="798">
        <f>SUBTOTAL(9,B8:B18)</f>
        <v>639</v>
      </c>
      <c r="C19" s="799">
        <f>SUBTOTAL(9,C8:C18)</f>
        <v>667</v>
      </c>
      <c r="D19" s="800">
        <f>SUBTOTAL(9,D8:D18)</f>
        <v>8441</v>
      </c>
    </row>
    <row r="20" spans="1:4" ht="7.5" customHeight="1"/>
    <row r="21" spans="1:4" ht="6" customHeight="1"/>
    <row r="22" spans="1:4">
      <c r="A22" s="391" t="str">
        <f>Criterios!A4</f>
        <v>Fecha Informe: 29 may. 2024</v>
      </c>
    </row>
    <row r="27" spans="1:4">
      <c r="A27" s="414"/>
    </row>
  </sheetData>
  <sheetProtection algorithmName="SHA-512" hashValue="/gG8tpS4iXTJS2SM2zkg2ZxzNiBx+W8xjEvE2SkaafAAo1azDlKrc0DhvUGEHI1yxLkwXEWLC4rakvwUVPIM5A==" saltValue="XSFQzjzKtaGaR8asu9u/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TORREJON DE ARDOZ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0.33287858117326058</v>
      </c>
      <c r="C9" s="456">
        <f>IF(ISNUMBER(
   IF(J_V="SI",(Datos!J9-Datos!T9)/Datos!T9,(Datos!J9+Datos!Z9-(Datos!T9+Datos!AH9))/(Datos!T9+Datos!AH9))
     ),IF(J_V="SI",(Datos!J9-Datos!T9)/Datos!T9,(Datos!J9+Datos!Z9-(Datos!T9+Datos!AH9))/(Datos!T9+Datos!AH9))," - ")</f>
        <v>0.26744989633724947</v>
      </c>
      <c r="D9" s="456">
        <f>IF(ISNUMBER(
   IF(J_V="SI",(Datos!K9-Datos!U9)/Datos!U9,(Datos!K9+Datos!AA9-(Datos!U9+Datos!AI9))/(Datos!U9+Datos!AI9))
     ),IF(J_V="SI",(Datos!K9-Datos!U9)/Datos!U9,(Datos!K9+Datos!AA9-(Datos!U9+Datos!AI9))/(Datos!U9+Datos!AI9))," - ")</f>
        <v>0.68733509234828494</v>
      </c>
      <c r="E9" s="456">
        <f>IF(ISNUMBER(
   IF(J_V="SI",(Datos!L9-Datos!V9)/Datos!V9,(Datos!L9+Datos!AB9-(Datos!V9+Datos!AJ9))/(Datos!V9+Datos!AJ9))
     ),IF(J_V="SI",(Datos!L9-Datos!V9)/Datos!V9,(Datos!L9+Datos!AB9-(Datos!V9+Datos!AJ9))/(Datos!V9+Datos!AJ9))," - ")</f>
        <v>0.19366440724858211</v>
      </c>
      <c r="F9" s="456">
        <f>IF(ISNUMBER((Datos!M9-Datos!W9)/Datos!W9),(Datos!M9-Datos!W9)/Datos!W9," - ")</f>
        <v>0.89090909090909087</v>
      </c>
      <c r="G9" s="457">
        <f>IF(ISNUMBER((Datos!N9-Datos!X9)/Datos!X9),(Datos!N9-Datos!X9)/Datos!X9," - ")</f>
        <v>0.53737658674189004</v>
      </c>
      <c r="H9" s="455">
        <f>IF(ISNUMBER(((NºAsuntos!G9/NºAsuntos!E9)-Datos!BD9)/Datos!BD9),((NºAsuntos!G9/NºAsuntos!E9)-Datos!BD9)/Datos!BD9," - ")</f>
        <v>0.33128346708177114</v>
      </c>
      <c r="I9" s="456">
        <f>IF(ISNUMBER(((NºAsuntos!I9/NºAsuntos!G9)-Datos!BE9)/Datos!BE9),((NºAsuntos!I9/NºAsuntos!G9)-Datos!BE9)/Datos!BE9," - ")</f>
        <v>-0.29257418241249006</v>
      </c>
      <c r="J9" s="461">
        <f>IF(ISNUMBER((('Resol  Asuntos'!D9/NºAsuntos!G9)-Datos!BF9)/Datos!BF9),(('Resol  Asuntos'!D9/NºAsuntos!G9)-Datos!BF9)/Datos!BF9," - ")</f>
        <v>-0.73920034053402528</v>
      </c>
      <c r="K9" s="462">
        <f>IF(ISNUMBER((((NºAsuntos!C9+NºAsuntos!E9)/NºAsuntos!G9)-Datos!BG9)/Datos!BG9),(((NºAsuntos!C9+NºAsuntos!E9)/NºAsuntos!G9)-Datos!BG9)/Datos!BG9," - ")</f>
        <v>-0.2218925315773827</v>
      </c>
    </row>
    <row r="10" spans="1:11">
      <c r="A10" s="402" t="str">
        <f>Datos!A10</f>
        <v>Jdos. Violencia contra la mujer</v>
      </c>
      <c r="B10" s="455">
        <f>IF(ISNUMBER((Datos!I10-Datos!S10)/Datos!S10),(Datos!I10-Datos!S10)/Datos!S10," - ")</f>
        <v>5.6000000000000001E-2</v>
      </c>
      <c r="C10" s="456">
        <f>IF(ISNUMBER((Datos!J10-Datos!T10)/Datos!T10),(Datos!J10-Datos!T10)/Datos!T10," - ")</f>
        <v>0.25</v>
      </c>
      <c r="D10" s="456">
        <f>IF(ISNUMBER((Datos!K10-Datos!U10)/Datos!U10),(Datos!K10-Datos!U10)/Datos!U10," - ")</f>
        <v>0.12121212121212122</v>
      </c>
      <c r="E10" s="456">
        <f>IF(ISNUMBER((Datos!L10-Datos!V10)/Datos!V10),(Datos!L10-Datos!V10)/Datos!V10," - ")</f>
        <v>9.8484848484848481E-2</v>
      </c>
      <c r="F10" s="456">
        <f>IF(ISNUMBER((Datos!M10-Datos!W10)/Datos!W10),(Datos!M10-Datos!W10)/Datos!W10," - ")</f>
        <v>3</v>
      </c>
      <c r="G10" s="457">
        <f>IF(ISNUMBER((Datos!N10-Datos!X10)/Datos!X10),(Datos!N10-Datos!X10)/Datos!X10," - ")</f>
        <v>-0.70833333333333337</v>
      </c>
      <c r="H10" s="455">
        <f>IF(ISNUMBER(((NºAsuntos!G10/NºAsuntos!E10)-Datos!BD10)/Datos!BD10),((NºAsuntos!G10/NºAsuntos!E10)-Datos!BD10)/Datos!BD10," - ")</f>
        <v>-0.10303030303030299</v>
      </c>
      <c r="I10" s="456">
        <f>IF(ISNUMBER(((NºAsuntos!I10/NºAsuntos!G10)-Datos!BE10)/Datos!BE10),((NºAsuntos!I10/NºAsuntos!G10)-Datos!BE10)/Datos!BE10," - ")</f>
        <v>-2.0270270270270285E-2</v>
      </c>
      <c r="J10" s="461">
        <f>IF(ISNUMBER((('Resol  Asuntos'!D10/NºAsuntos!G10)-Datos!BF10)/Datos!BF10),(('Resol  Asuntos'!D10/NºAsuntos!G10)-Datos!BF10)/Datos!BF10," - ")</f>
        <v>2.567567567567568</v>
      </c>
      <c r="K10" s="462">
        <f>IF(ISNUMBER((((NºAsuntos!C10+NºAsuntos!E10)/NºAsuntos!G10)-Datos!BG10)/Datos!BG10),(((NºAsuntos!C10+NºAsuntos!E10)/NºAsuntos!G10)-Datos!BG10)/Datos!BG10," - ")</f>
        <v>-1.6216216216216141E-2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0.32772984230883667</v>
      </c>
      <c r="C13" s="855">
        <f>IF(ISNUMBER(
   IF(J_V="SI",(Datos!J13-Datos!T13)/Datos!T13,(Datos!J13+Datos!Z13-(Datos!T13+Datos!AH13))/(Datos!T13+Datos!AH13))
     ),IF(J_V="SI",(Datos!J13-Datos!T13)/Datos!T13,(Datos!J13+Datos!Z13-(Datos!T13+Datos!AH13))/(Datos!T13+Datos!AH13))," - ")</f>
        <v>0.26721199727334699</v>
      </c>
      <c r="D13" s="855">
        <f>IF(ISNUMBER(
   IF(J_V="SI",(Datos!K13-Datos!U13)/Datos!U13,(Datos!K13+Datos!AA13-(Datos!U13+Datos!AI13))/(Datos!U13+Datos!AI13))
     ),IF(J_V="SI",(Datos!K13-Datos!U13)/Datos!U13,(Datos!K13+Datos!AA13-(Datos!U13+Datos!AI13))/(Datos!U13+Datos!AI13))," - ")</f>
        <v>0.67923710446467278</v>
      </c>
      <c r="E13" s="855">
        <f>IF(ISNUMBER(
   IF(J_V="SI",(Datos!L13-Datos!V13)/Datos!V13,(Datos!L13+Datos!AB13-(Datos!V13+Datos!AJ13))/(Datos!V13+Datos!AJ13))
     ),IF(J_V="SI",(Datos!L13-Datos!V13)/Datos!V13,(Datos!L13+Datos!AB13-(Datos!V13+Datos!AJ13))/(Datos!V13+Datos!AJ13))," - ")</f>
        <v>0.19195761445455781</v>
      </c>
      <c r="F13" s="856">
        <f>IF(ISNUMBER((Datos!M13-Datos!W13)/Datos!W13),(Datos!M13-Datos!W13)/Datos!W13," - ")</f>
        <v>0.92238805970149251</v>
      </c>
      <c r="G13" s="857">
        <f>IF(ISNUMBER((Datos!N13-Datos!X13)/Datos!X13),(Datos!N13-Datos!X13)/Datos!X13," - ")</f>
        <v>0.51664355062413314</v>
      </c>
      <c r="H13" s="857">
        <f>IF(ISNUMBER(((NºAsuntos!G13/NºAsuntos!E13)-Datos!BD13)/Datos!BD13),((NºAsuntos!G13/NºAsuntos!E13)-Datos!BD13)/Datos!BD13," - ")</f>
        <v>0.32514299744468778</v>
      </c>
      <c r="I13" s="857">
        <f>IF(ISNUMBER(((NºAsuntos!I13/NºAsuntos!G13)-Datos!BE13)/Datos!BE13),((NºAsuntos!I13/NºAsuntos!G13)-Datos!BE13)/Datos!BE13," - ")</f>
        <v>-0.29017908710721102</v>
      </c>
      <c r="J13" s="857">
        <f>IF(ISNUMBER((('Resol  Asuntos'!D13/NºAsuntos!G13)-Datos!BF13)/Datos!BF13),(('Resol  Asuntos'!D13/NºAsuntos!G13)-Datos!BF13)/Datos!BF13," - ")</f>
        <v>-0.73049368531076053</v>
      </c>
      <c r="K13" s="857">
        <f>IF(ISNUMBER((((NºAsuntos!C13+NºAsuntos!E13)/NºAsuntos!G13)-Datos!BG13)/Datos!BG13),(((NºAsuntos!C13+NºAsuntos!E13)/NºAsuntos!G13)-Datos!BG13)/Datos!BG13," - ")</f>
        <v>-0.22027607733925197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0.11302681992337164</v>
      </c>
      <c r="C15" s="456">
        <f>IF(ISNUMBER(
   IF(D_I="SI",(Datos!J15-Datos!T15)/Datos!T15,(Datos!J15+Datos!AD15-(Datos!T15+Datos!AL15))/(Datos!T15+Datos!AL15))
     ),IF(D_I="SI",(Datos!J15-Datos!T15)/Datos!T15,(Datos!J15+Datos!AD15-(Datos!T15+Datos!AL15))/(Datos!T15+Datos!AL15))," - ")</f>
        <v>2.7764247442766683E-2</v>
      </c>
      <c r="D15" s="456">
        <f>IF(ISNUMBER(
   IF(D_I="SI",(Datos!K15-Datos!U15)/Datos!U15,(Datos!K15+Datos!AE15-(Datos!U15+Datos!AM15))/(Datos!U15+Datos!AM15))
     ),IF(D_I="SI",(Datos!K15-Datos!U15)/Datos!U15,(Datos!K15+Datos!AE15-(Datos!U15+Datos!AM15))/(Datos!U15+Datos!AM15))," - ")</f>
        <v>8.7487781036168139E-2</v>
      </c>
      <c r="E15" s="456">
        <f>IF(ISNUMBER(
   IF(D_I="SI",(Datos!L15-Datos!V15)/Datos!V15,(Datos!L15+Datos!AF15-(Datos!V15+Datos!AN15))/(Datos!V15+Datos!AN15))
     ),IF(D_I="SI",(Datos!L15-Datos!V15)/Datos!V15,(Datos!L15+Datos!AF15-(Datos!V15+Datos!AN15))/(Datos!V15+Datos!AN15))," - ")</f>
        <v>0.25843694493783304</v>
      </c>
      <c r="F15" s="456">
        <f>IF(ISNUMBER((Datos!M15-Datos!W15)/Datos!W15),(Datos!M15-Datos!W15)/Datos!W15," - ")</f>
        <v>0.27192982456140352</v>
      </c>
      <c r="G15" s="457">
        <f>IF(ISNUMBER((Datos!N15-Datos!X15)/Datos!X15),(Datos!N15-Datos!X15)/Datos!X15," - ")</f>
        <v>4.3760129659643439E-2</v>
      </c>
      <c r="H15" s="455">
        <f>IF(ISNUMBER(((NºAsuntos!G15/NºAsuntos!E15)-Datos!BD15)/Datos!BD15),((NºAsuntos!G15/NºAsuntos!E15)-Datos!BD15)/Datos!BD15," - ")</f>
        <v>5.8110149036612935E-2</v>
      </c>
      <c r="I15" s="456">
        <f>IF(ISNUMBER(((NºAsuntos!I15/NºAsuntos!G15)-Datos!BE15)/Datos!BE15),((NºAsuntos!I15/NºAsuntos!G15)-Datos!BE15)/Datos!BE15," - ")</f>
        <v>0.15719639970463226</v>
      </c>
      <c r="J15" s="461">
        <f>IF(ISNUMBER((('Resol  Asuntos'!D15/NºAsuntos!G15)-Datos!BF15)/Datos!BF15),(('Resol  Asuntos'!D15/NºAsuntos!G15)-Datos!BF15)/Datos!BF15," - ")</f>
        <v>0.16960378474275581</v>
      </c>
      <c r="K15" s="462">
        <f>IF(ISNUMBER((((NºAsuntos!C15+NºAsuntos!E15)/NºAsuntos!G15)-Datos!BG15)/Datos!BG15),(((NºAsuntos!C15+NºAsuntos!E15)/NºAsuntos!G15)-Datos!BG15)/Datos!BG15," - ")</f>
        <v>-2.848904158790859E-2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-0.19838056680161945</v>
      </c>
      <c r="C17" s="456">
        <f>IF(ISNUMBER(
   IF(D_I="SI",(Datos!J17-Datos!T17)/Datos!T17,(Datos!J17+Datos!AD17-(Datos!T17+Datos!AL17))/(Datos!T17+Datos!AL17))
     ),IF(D_I="SI",(Datos!J17-Datos!T17)/Datos!T17,(Datos!J17+Datos!AD17-(Datos!T17+Datos!AL17))/(Datos!T17+Datos!AL17))," - ")</f>
        <v>-3.3112582781456956E-2</v>
      </c>
      <c r="D17" s="456">
        <f>IF(ISNUMBER(
   IF(D_I="SI",(Datos!K17-Datos!U17)/Datos!U17,(Datos!K17+Datos!AE17-(Datos!U17+Datos!AM17))/(Datos!U17+Datos!AM17))
     ),IF(D_I="SI",(Datos!K17-Datos!U17)/Datos!U17,(Datos!K17+Datos!AE17-(Datos!U17+Datos!AM17))/(Datos!U17+Datos!AM17))," - ")</f>
        <v>-3.3613445378151259E-2</v>
      </c>
      <c r="E17" s="456">
        <f>IF(ISNUMBER(
   IF(D_I="SI",(Datos!L17-Datos!V17)/Datos!V17,(Datos!L17+Datos!AF17-(Datos!V17+Datos!AN17))/(Datos!V17+Datos!AN17))
     ),IF(D_I="SI",(Datos!L17-Datos!V17)/Datos!V17,(Datos!L17+Datos!AF17-(Datos!V17+Datos!AN17))/(Datos!V17+Datos!AN17))," - ")</f>
        <v>0.18974358974358974</v>
      </c>
      <c r="F17" s="456">
        <f>IF(ISNUMBER((Datos!M17-Datos!W17)/Datos!W17),(Datos!M17-Datos!W17)/Datos!W17," - ")</f>
        <v>0.14285714285714285</v>
      </c>
      <c r="G17" s="457">
        <f>IF(ISNUMBER((Datos!N17-Datos!X17)/Datos!X17),(Datos!N17-Datos!X17)/Datos!X17," - ")</f>
        <v>-9.9009900990099015E-2</v>
      </c>
      <c r="H17" s="455">
        <f>IF(ISNUMBER(((NºAsuntos!G17/NºAsuntos!E17)-Datos!BD17)/Datos!BD17),((NºAsuntos!G17/NºAsuntos!E17)-Datos!BD17)/Datos!BD17," - ")</f>
        <v>-5.1801542534820678E-4</v>
      </c>
      <c r="I17" s="456">
        <f>IF(ISNUMBER(((NºAsuntos!I17/NºAsuntos!G17)-Datos!BE17)/Datos!BE17),((NºAsuntos!I17/NºAsuntos!G17)-Datos!BE17)/Datos!BE17," - ")</f>
        <v>0.23112597547380162</v>
      </c>
      <c r="J17" s="461">
        <f>IF(ISNUMBER((('Resol  Asuntos'!D17/NºAsuntos!G17)-Datos!BF17)/Datos!BF17),(('Resol  Asuntos'!D17/NºAsuntos!G17)-Datos!BF17)/Datos!BF17," - ")</f>
        <v>0.18260869565217394</v>
      </c>
      <c r="K17" s="462">
        <f>IF(ISNUMBER((((NºAsuntos!C17+NºAsuntos!E17)/NºAsuntos!G17)-Datos!BG17)/Datos!BG17),(((NºAsuntos!C17+NºAsuntos!E17)/NºAsuntos!G17)-Datos!BG17)/Datos!BG17," - ")</f>
        <v>-7.6423536865447048E-2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5.3117782909930716E-2</v>
      </c>
      <c r="C18" s="855">
        <f>IF(ISNUMBER(
   IF(Criterios!B14="SI",(Datos!J18-Datos!T18)/Datos!T18,(Datos!J18+Datos!AD18-(Datos!T18+Datos!AL18))/(Datos!T18+Datos!AL18))
     ),IF(Criterios!B14="SI",(Datos!J18-Datos!T18)/Datos!T18,(Datos!J18+Datos!AD18-(Datos!T18+Datos!AL18))/(Datos!T18+Datos!AL18))," - ")</f>
        <v>1.9957537154989383E-2</v>
      </c>
      <c r="D18" s="855">
        <f>IF(ISNUMBER(
   IF(Criterios!B14="SI",(Datos!K18-Datos!U18)/Datos!U18,(Datos!K18+Datos!AE18-(Datos!U18+Datos!AM18))/(Datos!U18+Datos!AM18))
     ),IF(Criterios!B14="SI",(Datos!K18-Datos!U18)/Datos!U18,(Datos!K18+Datos!AE18-(Datos!U18+Datos!AM18))/(Datos!U18+Datos!AM18))," - ")</f>
        <v>6.9496462754889715E-2</v>
      </c>
      <c r="E18" s="855">
        <f>IF(ISNUMBER(
   IF(Criterios!B14="SI",(Datos!L18-Datos!V18)/Datos!V18,(Datos!L18+Datos!AF18-(Datos!V18+Datos!AN18))/(Datos!V18+Datos!AN18))
     ),IF(Criterios!B14="SI",(Datos!L18-Datos!V18)/Datos!V18,(Datos!L18+Datos!AF18-(Datos!V18+Datos!AN18))/(Datos!V18+Datos!AN18))," - ")</f>
        <v>0.24680210684725357</v>
      </c>
      <c r="F18" s="856">
        <f>IF(ISNUMBER((Datos!M18-Datos!W18)/Datos!W18),(Datos!M18-Datos!W18)/Datos!W18," - ")</f>
        <v>0.26104417670682734</v>
      </c>
      <c r="G18" s="857">
        <f>IF(ISNUMBER((Datos!N18-Datos!X18)/Datos!X18),(Datos!N18-Datos!X18)/Datos!X18," - ")</f>
        <v>2.3676880222841225E-2</v>
      </c>
      <c r="H18" s="857">
        <f>IF(ISNUMBER(((NºAsuntos!G18/NºAsuntos!E18)-Datos!BD18)/Datos!BD18),((NºAsuntos!G18/NºAsuntos!E18)-Datos!BD18)/Datos!BD18," - ")</f>
        <v>4.8569596081501014E-2</v>
      </c>
      <c r="I18" s="857">
        <f>IF(ISNUMBER(((NºAsuntos!I18/NºAsuntos!G18)-Datos!BE18)/Datos!BE18),((NºAsuntos!I18/NºAsuntos!G18)-Datos!BE18)/Datos!BE18," - ")</f>
        <v>0.16578422675250989</v>
      </c>
      <c r="J18" s="857">
        <f>IF(ISNUMBER((('Resol  Asuntos'!D18/NºAsuntos!G18)-Datos!BF18)/Datos!BF18),(('Resol  Asuntos'!D18/NºAsuntos!G18)-Datos!BF18)/Datos!BF18," - ")</f>
        <v>0.17910083915428243</v>
      </c>
      <c r="K18" s="857">
        <f>IF(ISNUMBER((((NºAsuntos!C18+NºAsuntos!E18)/NºAsuntos!G18)-Datos!BG18)/Datos!BG18),(((NºAsuntos!C18+NºAsuntos!E18)/NºAsuntos!G18)-Datos!BG18)/Datos!BG18," - ")</f>
        <v>-3.5297387437465286E-2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0.28325645181398829</v>
      </c>
      <c r="C19" s="802">
        <f>IF(ISNUMBER(
   IF(J_V="SI",(Datos!J19-Datos!T19)/Datos!T19,(Datos!J19+Datos!Z19-(Datos!T19+Datos!AH19))/(Datos!T19+Datos!AH19))
     ),IF(J_V="SI",(Datos!J19-Datos!T19)/Datos!T19,(Datos!J19+Datos!Z19-(Datos!T19+Datos!AH19))/(Datos!T19+Datos!AH19))," - ")</f>
        <v>0.15711854792966534</v>
      </c>
      <c r="D19" s="802">
        <f>IF(ISNUMBER(
   IF(J_V="SI",(Datos!K19-Datos!U19)/Datos!U19,(Datos!K19+Datos!AA19-(Datos!U19+Datos!AI19))/(Datos!U19+Datos!AI19))
     ),IF(J_V="SI",(Datos!K19-Datos!U19)/Datos!U19,(Datos!K19+Datos!AA19-(Datos!U19+Datos!AI19))/(Datos!U19+Datos!AI19))," - ")</f>
        <v>0.36815286624203819</v>
      </c>
      <c r="E19" s="802">
        <f>IF(ISNUMBER(
   IF(J_V="SI",(Datos!L19-Datos!V19)/Datos!V19,(Datos!L19+Datos!AB19-(Datos!V19+Datos!AJ19))/(Datos!V19+Datos!AJ19))
     ),IF(J_V="SI",(Datos!L19-Datos!V19)/Datos!V19,(Datos!L19+Datos!AB19-(Datos!V19+Datos!AJ19))/(Datos!V19+Datos!AJ19))," - ")</f>
        <v>0.20034522439585731</v>
      </c>
      <c r="F19" s="803">
        <f>IF(ISNUMBER((Datos!M19-Datos!W19)/Datos!W19),(Datos!M19-Datos!W19)/Datos!W19," - ")</f>
        <v>0.6404109589041096</v>
      </c>
      <c r="G19" s="804">
        <f>IF(ISNUMBER((Datos!N19-Datos!X19)/Datos!X19),(Datos!N19-Datos!X19)/Datos!X19," - ")</f>
        <v>0.27067407922168174</v>
      </c>
      <c r="H19" s="805">
        <f>IF(ISNUMBER((Tasas!B19-Datos!BD19)/Datos!BD19),(Tasas!B19-Datos!BD19)/Datos!BD19," - ")</f>
        <v>0.1823791682278007</v>
      </c>
      <c r="I19" s="806">
        <f>IF(ISNUMBER((Tasas!C19-Datos!BE19)/Datos!BE19),(Tasas!C19-Datos!BE19)/Datos!BE19," - ")</f>
        <v>-0.12265269911475983</v>
      </c>
      <c r="J19" s="807">
        <f>IF(ISNUMBER((Tasas!D19-Datos!BF19)/Datos!BF19),(Tasas!D19-Datos!BF19)/Datos!BF19," - ")</f>
        <v>-0.5812116311601756</v>
      </c>
      <c r="K19" s="807">
        <f>IF(ISNUMBER((Tasas!E19-Datos!BG19)/Datos!BG19),(Tasas!E19-Datos!BG19)/Datos!BG19," - ")</f>
        <v>-9.8687717472056624E-2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I5LjNulM+5o0s+6xmXQ8V6AACyKaEuucZO2SgOTn+CWCs5UfsXOYeeJmCyZOMt+IvLIA+ao41D22Mkn2Itucg==" saltValue="1tU07IgdxBoFtQx9KhNz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TORREJON DE ARDOZ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1.0460741548527808</v>
      </c>
      <c r="C9" s="443">
        <f>IF(ISNUMBER(NºAsuntos!I9/NºAsuntos!G9),NºAsuntos!I9/NºAsuntos!G9," - ")</f>
        <v>2.2488923638259055</v>
      </c>
      <c r="D9" s="444">
        <f>IF(ISNUMBER('Resol  Asuntos'!D9/NºAsuntos!G9),'Resol  Asuntos'!D9/NºAsuntos!G9," - ")</f>
        <v>0.16262705238467554</v>
      </c>
      <c r="E9" s="445">
        <f>IF(ISNUMBER((NºAsuntos!C9+NºAsuntos!E9)/NºAsuntos!G9),(NºAsuntos!C9+NºAsuntos!E9)/NºAsuntos!G9," - ")</f>
        <v>3.2475892624446181</v>
      </c>
      <c r="G9" s="463"/>
    </row>
    <row r="10" spans="1:7">
      <c r="A10" s="402" t="str">
        <f>Datos!A10</f>
        <v>Jdos. Violencia contra la mujer</v>
      </c>
      <c r="B10" s="442">
        <f>IF(ISNUMBER(NºAsuntos!G10/NºAsuntos!E10),NºAsuntos!G10/NºAsuntos!E10," - ")</f>
        <v>0.74</v>
      </c>
      <c r="C10" s="443">
        <f>IF(ISNUMBER(NºAsuntos!I10/NºAsuntos!G10),NºAsuntos!I10/NºAsuntos!G10," - ")</f>
        <v>3.9189189189189189</v>
      </c>
      <c r="D10" s="444">
        <f>IF(ISNUMBER('Resol  Asuntos'!D10/NºAsuntos!G10),'Resol  Asuntos'!D10/NºAsuntos!G10," - ")</f>
        <v>0.54054054054054057</v>
      </c>
      <c r="E10" s="445">
        <f>IF(ISNUMBER((NºAsuntos!C10+NºAsuntos!E10)/NºAsuntos!G10),(NºAsuntos!C10+NºAsuntos!E10)/NºAsuntos!G10," - ")</f>
        <v>4.9189189189189193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1.0419580419580419</v>
      </c>
      <c r="C13" s="859">
        <f>IF(ISNUMBER(NºAsuntos!I13/NºAsuntos!G13),NºAsuntos!I13/NºAsuntos!G13," - ")</f>
        <v>2.2648425400103251</v>
      </c>
      <c r="D13" s="860">
        <f>IF(ISNUMBER('Resol  Asuntos'!D13/NºAsuntos!G13),'Resol  Asuntos'!D13/NºAsuntos!G13," - ")</f>
        <v>0.16623644811564275</v>
      </c>
      <c r="E13" s="861">
        <f>IF(ISNUMBER((NºAsuntos!C13+NºAsuntos!E13)/NºAsuntos!G13),(NºAsuntos!C13+NºAsuntos!E13)/NºAsuntos!G13," - ")</f>
        <v>3.2635518843572533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1.0545023696682465</v>
      </c>
      <c r="C15" s="443">
        <f>IF(ISNUMBER(NºAsuntos!I15/NºAsuntos!G15),NºAsuntos!I15/NºAsuntos!G15," - ")</f>
        <v>0.6368539325842697</v>
      </c>
      <c r="D15" s="444">
        <f>IF(ISNUMBER('Resol  Asuntos'!D15/NºAsuntos!G15),'Resol  Asuntos'!D15/NºAsuntos!G15," - ")</f>
        <v>0.1303370786516854</v>
      </c>
      <c r="E15" s="445">
        <f>IF(ISNUMBER((NºAsuntos!C15+NºAsuntos!E15)/NºAsuntos!G15),(NºAsuntos!C15+NºAsuntos!E15)/NºAsuntos!G15," - ")</f>
        <v>1.4705617977528089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1.1815068493150684</v>
      </c>
      <c r="C17" s="443">
        <f>IF(ISNUMBER(NºAsuntos!I17/NºAsuntos!G17),NºAsuntos!I17/NºAsuntos!G17," - ")</f>
        <v>0.672463768115942</v>
      </c>
      <c r="D17" s="444">
        <f>IF(ISNUMBER('Resol  Asuntos'!D17/NºAsuntos!G17),'Resol  Asuntos'!D17/NºAsuntos!G17," - ")</f>
        <v>6.9565217391304349E-2</v>
      </c>
      <c r="E17" s="445">
        <f>IF(ISNUMBER((NºAsuntos!C17+NºAsuntos!E17)/NºAsuntos!G17),(NºAsuntos!C17+NºAsuntos!E17)/NºAsuntos!G17," - ")</f>
        <v>1.4202898550724639</v>
      </c>
      <c r="G17" s="463"/>
    </row>
    <row r="18" spans="1:7" ht="14.25" thickTop="1" thickBot="1">
      <c r="A18" s="848" t="str">
        <f>Datos!A18</f>
        <v>TOTAL</v>
      </c>
      <c r="B18" s="858">
        <f>IF(ISNUMBER(NºAsuntos!G18/NºAsuntos!E18),NºAsuntos!G18/NºAsuntos!E18," - ")</f>
        <v>1.0699417152373023</v>
      </c>
      <c r="C18" s="859">
        <f>IF(ISNUMBER(NºAsuntos!I18/NºAsuntos!G18),NºAsuntos!I18/NºAsuntos!G18," - ")</f>
        <v>0.6447470817120623</v>
      </c>
      <c r="D18" s="862">
        <f>IF(ISNUMBER('Resol  Asuntos'!D18/NºAsuntos!G18),'Resol  Asuntos'!D18/NºAsuntos!G18," - ")</f>
        <v>0.12217898832684825</v>
      </c>
      <c r="E18" s="861">
        <f>IF(ISNUMBER((NºAsuntos!C18+NºAsuntos!E18)/NºAsuntos!G18),(NºAsuntos!C18+NºAsuntos!E18)/NºAsuntos!G18," - ")</f>
        <v>1.4669260700389104</v>
      </c>
      <c r="G18" s="463"/>
    </row>
    <row r="19" spans="1:7" ht="15.75" customHeight="1" thickTop="1" thickBot="1">
      <c r="A19" s="793" t="str">
        <f>Datos!A19</f>
        <v>TOTAL JURISDICCIONES</v>
      </c>
      <c r="B19" s="808">
        <f>IF(ISNUMBER(NºAsuntos!G19/NºAsuntos!E19),NºAsuntos!G19/NºAsuntos!E19," - ")</f>
        <v>1.0529411764705883</v>
      </c>
      <c r="C19" s="809">
        <f>IF(ISNUMBER(NºAsuntos!I19/NºAsuntos!G19),NºAsuntos!I19/NºAsuntos!G19," - ")</f>
        <v>1.6187150837988826</v>
      </c>
      <c r="D19" s="810">
        <f>IF(ISNUMBER('Resol  Asuntos'!D19/NºAsuntos!G19),'Resol  Asuntos'!D19/NºAsuntos!G19," - ")</f>
        <v>0.14866542520173806</v>
      </c>
      <c r="E19" s="811">
        <f>IF(ISNUMBER((NºAsuntos!C19+NºAsuntos!E19)/NºAsuntos!G19),(NºAsuntos!C19+NºAsuntos!E19)/NºAsuntos!G19," - ")</f>
        <v>2.547020484171322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ZFKMnHC6Sy/XW4/8X1VnxhaM6Mizb7//gvXnDssRmEOpWiomUyY9WlpByjKVuSojW98Ae8Y/wTI5EaDTeDotg==" saltValue="XIZyRq51Eev1mkBKUv23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TORREJON DE ARDOZ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544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529</v>
      </c>
      <c r="Y9" s="334">
        <f>SUM(W9:X9)</f>
        <v>529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8004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624</v>
      </c>
      <c r="AJ9" s="229" t="str">
        <f>IF(ISNUMBER(Datos!BW9),Datos!BW9," - ")</f>
        <v xml:space="preserve"> - </v>
      </c>
      <c r="AK9" s="228" t="str">
        <f>IF(ISNUMBER(Datos!BX9),Datos!BX9," - ")</f>
        <v xml:space="preserve"> - </v>
      </c>
      <c r="AL9" s="243">
        <f>IF(ISNUMBER(NºAsuntos!G9/NºAsuntos!E9),NºAsuntos!G9/NºAsuntos!E9," - ")</f>
        <v>1.0460741548527808</v>
      </c>
      <c r="AM9" s="260">
        <f>IF(ISNUMBER(((NºAsuntos!I9/NºAsuntos!G9)*11)/factor_trimestre),((NºAsuntos!I9/NºAsuntos!G9)*11)/factor_trimestre," - ")</f>
        <v>6.746677091477717</v>
      </c>
      <c r="AN9" s="244">
        <f>IF(ISNUMBER('Resol  Asuntos'!D9/NºAsuntos!G9),'Resol  Asuntos'!D9/NºAsuntos!G9," - ")</f>
        <v>0.16262705238467554</v>
      </c>
      <c r="AO9" s="245">
        <f>IF(ISNUMBER((NºAsuntos!C9+NºAsuntos!E9)/NºAsuntos!G9),(NºAsuntos!C9+NºAsuntos!E9)/NºAsuntos!G9," - ")</f>
        <v>3.2475892624446181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132</v>
      </c>
      <c r="G10" s="333">
        <f>IF(ISNUMBER(Datos!I10),Datos!I10," - ")</f>
        <v>132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8</v>
      </c>
      <c r="Y10" s="334">
        <f t="shared" ref="Y10:Y12" si="0">SUM(W10:X10)</f>
        <v>45</v>
      </c>
      <c r="Z10" s="335" t="str">
        <f>IF(ISNUMBER(Datos!CC10),Datos!CC10," - ")</f>
        <v xml:space="preserve"> - </v>
      </c>
      <c r="AA10" s="332">
        <f>IF(ISNUMBER(Datos!L10),Datos!L10,"-")</f>
        <v>145</v>
      </c>
      <c r="AB10" s="334">
        <f>IF(ISNUMBER(Datos!R10),Datos!R10," - ")</f>
        <v>69</v>
      </c>
      <c r="AC10" s="334">
        <f t="shared" ref="AC10:AC12" si="1">IF(ISNUMBER(AA10+AB10),AA10+AB10," - ")</f>
        <v>214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0.74</v>
      </c>
      <c r="AM10" s="260">
        <f>IF(ISNUMBER(((NºAsuntos!I10/NºAsuntos!G10)*11)/factor_trimestre),((NºAsuntos!I10/NºAsuntos!G10)*11)/factor_trimestre," - ")</f>
        <v>11.756756756756756</v>
      </c>
      <c r="AN10" s="244">
        <f>IF(ISNUMBER('Resol  Asuntos'!D10/NºAsuntos!G10),'Resol  Asuntos'!D10/NºAsuntos!G10," - ")</f>
        <v>0.54054054054054057</v>
      </c>
      <c r="AO10" s="245">
        <f>IF(ISNUMBER((NºAsuntos!C10+NºAsuntos!E10)/NºAsuntos!G10),(NºAsuntos!C10+NºAsuntos!E10)/NºAsuntos!G10," - ")</f>
        <v>4.9189189189189193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132</v>
      </c>
      <c r="G13" s="866">
        <f t="shared" si="3"/>
        <v>132</v>
      </c>
      <c r="H13" s="865">
        <f t="shared" si="3"/>
        <v>0</v>
      </c>
      <c r="I13" s="867">
        <f t="shared" si="3"/>
        <v>0</v>
      </c>
      <c r="J13" s="867">
        <f t="shared" si="3"/>
        <v>0</v>
      </c>
      <c r="K13" s="867">
        <f t="shared" si="3"/>
        <v>0</v>
      </c>
      <c r="L13" s="867">
        <f t="shared" si="3"/>
        <v>547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537</v>
      </c>
      <c r="Y13" s="868">
        <f t="shared" si="4"/>
        <v>574</v>
      </c>
      <c r="Z13" s="868">
        <f t="shared" si="4"/>
        <v>0</v>
      </c>
      <c r="AA13" s="868">
        <f t="shared" si="4"/>
        <v>145</v>
      </c>
      <c r="AB13" s="868">
        <f t="shared" si="4"/>
        <v>8073</v>
      </c>
      <c r="AC13" s="868">
        <f t="shared" si="4"/>
        <v>214</v>
      </c>
      <c r="AD13" s="868">
        <f t="shared" si="4"/>
        <v>0</v>
      </c>
      <c r="AE13" s="872">
        <f t="shared" si="4"/>
        <v>0</v>
      </c>
      <c r="AF13" s="865">
        <f t="shared" si="4"/>
        <v>0</v>
      </c>
      <c r="AG13" s="873">
        <f t="shared" si="4"/>
        <v>0</v>
      </c>
      <c r="AH13" s="870">
        <f t="shared" si="4"/>
        <v>0</v>
      </c>
      <c r="AI13" s="865">
        <f t="shared" si="4"/>
        <v>644</v>
      </c>
      <c r="AJ13" s="867">
        <f t="shared" si="4"/>
        <v>0</v>
      </c>
      <c r="AK13" s="870">
        <f>SUBTOTAL(9,AK9:AK12)</f>
        <v>0</v>
      </c>
      <c r="AL13" s="874">
        <f>IF(ISNUMBER(NºAsuntos!G13/NºAsuntos!E13),NºAsuntos!G13/NºAsuntos!E13," - ")</f>
        <v>1.0419580419580419</v>
      </c>
      <c r="AM13" s="874">
        <f>IF(ISNUMBER(((NºAsuntos!I13/NºAsuntos!G13)*11)/factor_trimestre),((NºAsuntos!I13/NºAsuntos!G13)*11)/factor_trimestre," - ")</f>
        <v>6.7945276200309763</v>
      </c>
      <c r="AN13" s="875">
        <f>IF(ISNUMBER('Resol  Asuntos'!D13/NºAsuntos!G13),'Resol  Asuntos'!D13/NºAsuntos!G13," - ")</f>
        <v>0.16623644811564275</v>
      </c>
      <c r="AO13" s="876">
        <f>IF(ISNUMBER((NºAsuntos!C13+NºAsuntos!E13)/NºAsuntos!G13),(NºAsuntos!C13+NºAsuntos!E13)/NºAsuntos!G13," - ")</f>
        <v>3.2635518843572533</v>
      </c>
      <c r="AP13" s="877" t="str">
        <f t="shared" si="2"/>
        <v xml:space="preserve"> - </v>
      </c>
      <c r="AQ13" s="877">
        <f>IF(ISNUMBER((H13-W13+K13)/(F13)),(H13-W13+K13)/(F13)," - ")</f>
        <v>-0.28030303030303028</v>
      </c>
      <c r="AR13" s="878">
        <f>IF(ISNUMBER((Datos!P13-Datos!Q13)/(Datos!R13-Datos!P13+Datos!Q13)),(Datos!P13-Datos!Q13)/(Datos!R13-Datos!P13+Datos!Q13)," - ")</f>
        <v>1.2402331638348009E-3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1532</v>
      </c>
      <c r="G15" s="333">
        <f>IF(ISNUMBER(IF(D_I="SI",Datos!I15,Datos!I15+Datos!AC15)),IF(D_I="SI",Datos!I15,Datos!I15+Datos!AC15)," - ")</f>
        <v>1162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2225</v>
      </c>
      <c r="X15" s="226">
        <f>IF(ISNUMBER(Datos!Q15),Datos!Q15," - ")</f>
        <v>130</v>
      </c>
      <c r="Y15" s="334">
        <f>SUM(W15)</f>
        <v>2225</v>
      </c>
      <c r="Z15" s="335" t="str">
        <f>IF(ISNUMBER(Datos!CC15),Datos!CC15," - ")</f>
        <v xml:space="preserve"> - </v>
      </c>
      <c r="AA15" s="332">
        <f>IF(ISNUMBER(IF(D_I="SI",Datos!L15,Datos!L15+Datos!AF15)),IF(D_I="SI",Datos!L15,Datos!L15+Datos!AF15)," - ")</f>
        <v>1417</v>
      </c>
      <c r="AB15" s="334">
        <f>IF(ISNUMBER(Datos!R15),Datos!R15," - ")</f>
        <v>359</v>
      </c>
      <c r="AC15" s="334">
        <f t="shared" ref="AC15:AC17" si="6">IF(ISNUMBER(AA15+AB15),AA15+AB15," - ")</f>
        <v>1776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290</v>
      </c>
      <c r="AJ15" s="231" t="str">
        <f>IF(ISNUMBER(Datos!BW15),Datos!BW15," - ")</f>
        <v xml:space="preserve"> - </v>
      </c>
      <c r="AK15" s="232" t="str">
        <f>IF(ISNUMBER(Datos!BX15),Datos!BX15," - ")</f>
        <v xml:space="preserve"> - </v>
      </c>
      <c r="AL15" s="243">
        <f>IF(ISNUMBER(NºAsuntos!G15/NºAsuntos!E15),NºAsuntos!G15/NºAsuntos!E15," - ")</f>
        <v>1.0545023696682465</v>
      </c>
      <c r="AM15" s="260">
        <f>IF(ISNUMBER(((NºAsuntos!I15/NºAsuntos!G15)*11)/factor_trimestre),((NºAsuntos!I15/NºAsuntos!G15)*11)/factor_trimestre," - ")</f>
        <v>1.9105617977528091</v>
      </c>
      <c r="AN15" s="244">
        <f>IF(ISNUMBER('Resol  Asuntos'!D15/NºAsuntos!G15),'Resol  Asuntos'!D15/NºAsuntos!G15," - ")</f>
        <v>0.1303370786516854</v>
      </c>
      <c r="AO15" s="245">
        <f>IF(ISNUMBER((NºAsuntos!C15+NºAsuntos!E15)/NºAsuntos!G15),(NºAsuntos!C15+NºAsuntos!E15)/NºAsuntos!G15," - ")</f>
        <v>1.4705617977528089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8</v>
      </c>
      <c r="G16" s="333">
        <f>IF(ISNUMBER(IF(D_I="SI",Datos!I16,Datos!I16+Datos!AC16)),IF(D_I="SI",Datos!I16,Datos!I16+Datos!AC16)," - ")</f>
        <v>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8</v>
      </c>
      <c r="AB16" s="334">
        <f>IF(ISNUMBER(Datos!R16),Datos!R16," - ")</f>
        <v>0</v>
      </c>
      <c r="AC16" s="334">
        <f t="shared" si="6"/>
        <v>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198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345</v>
      </c>
      <c r="X17" s="226">
        <f>IF(ISNUMBER(Datos!Q17),Datos!Q17," - ")</f>
        <v>0</v>
      </c>
      <c r="Y17" s="334">
        <f t="shared" si="7"/>
        <v>345</v>
      </c>
      <c r="Z17" s="335" t="str">
        <f>IF(ISNUMBER(Datos!CC17),Datos!CC17," - ")</f>
        <v xml:space="preserve"> - </v>
      </c>
      <c r="AA17" s="332">
        <f>IF(ISNUMBER(Datos!L17),Datos!L17,"-")</f>
        <v>232</v>
      </c>
      <c r="AB17" s="334">
        <f>IF(ISNUMBER(Datos!R17),Datos!R17," - ")</f>
        <v>9</v>
      </c>
      <c r="AC17" s="334">
        <f t="shared" si="6"/>
        <v>241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24</v>
      </c>
      <c r="AJ17" s="231" t="str">
        <f>IF(ISNUMBER(Datos!BW17),Datos!BW17," - ")</f>
        <v xml:space="preserve"> - </v>
      </c>
      <c r="AK17" s="232" t="str">
        <f>IF(ISNUMBER(Datos!BX17),Datos!BX17," - ")</f>
        <v xml:space="preserve"> - </v>
      </c>
      <c r="AL17" s="243">
        <f>IF(ISNUMBER(NºAsuntos!G17/NºAsuntos!E17),NºAsuntos!G17/NºAsuntos!E17," - ")</f>
        <v>1.1815068493150684</v>
      </c>
      <c r="AM17" s="260">
        <f>IF(ISNUMBER(((NºAsuntos!I17/NºAsuntos!G17)*11)/factor_trimestre),((NºAsuntos!I17/NºAsuntos!G17)*11)/factor_trimestre," - ")</f>
        <v>2.017391304347826</v>
      </c>
      <c r="AN17" s="244">
        <f>IF(ISNUMBER('Resol  Asuntos'!D17/NºAsuntos!G17),'Resol  Asuntos'!D17/NºAsuntos!G17," - ")</f>
        <v>6.9565217391304349E-2</v>
      </c>
      <c r="AO17" s="245">
        <f>IF(ISNUMBER((NºAsuntos!C17+NºAsuntos!E17)/NºAsuntos!G17),(NºAsuntos!C17+NºAsuntos!E17)/NºAsuntos!G17," - ")</f>
        <v>1.4202898550724639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1540</v>
      </c>
      <c r="G18" s="866">
        <f>SUBTOTAL(9,G15:G17)</f>
        <v>1368</v>
      </c>
      <c r="H18" s="865">
        <f t="shared" ref="H18:O18" si="10">SUBTOTAL(9,H14:H17)</f>
        <v>0</v>
      </c>
      <c r="I18" s="867">
        <f t="shared" si="10"/>
        <v>0</v>
      </c>
      <c r="J18" s="867">
        <f t="shared" si="10"/>
        <v>0</v>
      </c>
      <c r="K18" s="867">
        <f t="shared" si="10"/>
        <v>0</v>
      </c>
      <c r="L18" s="867">
        <f t="shared" si="10"/>
        <v>92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2570</v>
      </c>
      <c r="X18" s="867">
        <f t="shared" si="11"/>
        <v>130</v>
      </c>
      <c r="Y18" s="868">
        <f t="shared" si="11"/>
        <v>2570</v>
      </c>
      <c r="Z18" s="868">
        <f t="shared" si="11"/>
        <v>0</v>
      </c>
      <c r="AA18" s="868">
        <f t="shared" si="11"/>
        <v>1657</v>
      </c>
      <c r="AB18" s="868">
        <f t="shared" si="11"/>
        <v>368</v>
      </c>
      <c r="AC18" s="868">
        <f t="shared" si="11"/>
        <v>2025</v>
      </c>
      <c r="AD18" s="868">
        <f t="shared" si="11"/>
        <v>0</v>
      </c>
      <c r="AE18" s="872">
        <f t="shared" si="11"/>
        <v>0</v>
      </c>
      <c r="AF18" s="865">
        <f t="shared" si="11"/>
        <v>0</v>
      </c>
      <c r="AG18" s="873">
        <f t="shared" si="11"/>
        <v>0</v>
      </c>
      <c r="AH18" s="870">
        <f t="shared" si="11"/>
        <v>0</v>
      </c>
      <c r="AI18" s="865">
        <f t="shared" si="11"/>
        <v>314</v>
      </c>
      <c r="AJ18" s="867">
        <f t="shared" si="11"/>
        <v>0</v>
      </c>
      <c r="AK18" s="870">
        <f t="shared" si="11"/>
        <v>0</v>
      </c>
      <c r="AL18" s="874">
        <f>IF(ISNUMBER(NºAsuntos!G18/NºAsuntos!E18),NºAsuntos!G18/NºAsuntos!E18," - ")</f>
        <v>1.0699417152373023</v>
      </c>
      <c r="AM18" s="874">
        <f>IF(ISNUMBER(((NºAsuntos!I18/NºAsuntos!G18)*11)/factor_trimestre),((NºAsuntos!I18/NºAsuntos!G18)*11)/factor_trimestre," - ")</f>
        <v>1.934241245136187</v>
      </c>
      <c r="AN18" s="875">
        <f>IF(ISNUMBER('Resol  Asuntos'!D18/NºAsuntos!G18),'Resol  Asuntos'!D18/NºAsuntos!G18," - ")</f>
        <v>0.12217898832684825</v>
      </c>
      <c r="AO18" s="876">
        <f>IF(ISNUMBER((NºAsuntos!C18+NºAsuntos!E18)/NºAsuntos!G18),(NºAsuntos!C18+NºAsuntos!E18)/NºAsuntos!G18," - ")</f>
        <v>1.4669260700389104</v>
      </c>
      <c r="AP18" s="877" t="str">
        <f t="shared" si="2"/>
        <v xml:space="preserve"> - </v>
      </c>
      <c r="AQ18" s="877">
        <f>IF(ISNUMBER((H18-W18+K18)/(F18)),(H18-W18+K18)/(F18)," - ")</f>
        <v>-1.6688311688311688</v>
      </c>
      <c r="AR18" s="878">
        <f>IF(ISNUMBER((Datos!P18-Datos!Q18)/(Datos!R18-Datos!P18+Datos!Q18)),(Datos!P18-Datos!Q18)/(Datos!R18-Datos!P18+Datos!Q18)," - ")</f>
        <v>-9.3596059113300489E-2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1672</v>
      </c>
      <c r="G19" s="821">
        <f t="shared" si="13"/>
        <v>1500</v>
      </c>
      <c r="H19" s="820">
        <f t="shared" si="13"/>
        <v>0</v>
      </c>
      <c r="I19" s="822">
        <f t="shared" si="13"/>
        <v>0</v>
      </c>
      <c r="J19" s="822">
        <f t="shared" si="13"/>
        <v>0</v>
      </c>
      <c r="K19" s="881">
        <f t="shared" si="13"/>
        <v>0</v>
      </c>
      <c r="L19" s="822">
        <f t="shared" si="13"/>
        <v>639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2607</v>
      </c>
      <c r="X19" s="821">
        <f t="shared" si="14"/>
        <v>667</v>
      </c>
      <c r="Y19" s="828">
        <f t="shared" si="14"/>
        <v>3144</v>
      </c>
      <c r="Z19" s="828">
        <f t="shared" si="14"/>
        <v>0</v>
      </c>
      <c r="AA19" s="828">
        <f t="shared" si="14"/>
        <v>1802</v>
      </c>
      <c r="AB19" s="828">
        <f t="shared" si="14"/>
        <v>8441</v>
      </c>
      <c r="AC19" s="828">
        <f t="shared" si="14"/>
        <v>2239</v>
      </c>
      <c r="AD19" s="828">
        <f t="shared" si="14"/>
        <v>0</v>
      </c>
      <c r="AE19" s="830">
        <f t="shared" si="14"/>
        <v>0</v>
      </c>
      <c r="AF19" s="831">
        <f t="shared" si="14"/>
        <v>0</v>
      </c>
      <c r="AG19" s="832">
        <f t="shared" si="14"/>
        <v>0</v>
      </c>
      <c r="AH19" s="830">
        <f t="shared" si="14"/>
        <v>0</v>
      </c>
      <c r="AI19" s="820">
        <f t="shared" si="14"/>
        <v>958</v>
      </c>
      <c r="AJ19" s="820">
        <f t="shared" si="14"/>
        <v>0</v>
      </c>
      <c r="AK19" s="830">
        <f t="shared" si="14"/>
        <v>0</v>
      </c>
      <c r="AL19" s="884">
        <f>IF(ISNUMBER(NºAsuntos!G19/NºAsuntos!E19),NºAsuntos!G19/NºAsuntos!E19," - ")</f>
        <v>1.0529411764705883</v>
      </c>
      <c r="AM19" s="885">
        <f>IF(ISNUMBER(((NºAsuntos!I19/NºAsuntos!G19)*11)/factor_trimestre),((NºAsuntos!I19/NºAsuntos!G19)*11)/factor_trimestre," - ")</f>
        <v>4.8561452513966481</v>
      </c>
      <c r="AN19" s="885">
        <f>IF(ISNUMBER('Resol  Asuntos'!D19/NºAsuntos!G19),'Resol  Asuntos'!D19/NºAsuntos!G19," - ")</f>
        <v>0.14866542520173806</v>
      </c>
      <c r="AO19" s="886">
        <f>IF(ISNUMBER((NºAsuntos!C19+NºAsuntos!E19)/NºAsuntos!G19),(NºAsuntos!C19+NºAsuntos!E19)/NºAsuntos!G19," - ")</f>
        <v>2.547020484171322</v>
      </c>
      <c r="AP19" s="887" t="str">
        <f t="shared" si="2"/>
        <v xml:space="preserve"> - </v>
      </c>
      <c r="AQ19" s="888">
        <f>IF(OR(ISNUMBER(FIND("01",Criterios!A8,1)),ISNUMBER(FIND("02",Criterios!A8,1)),ISNUMBER(FIND("03",Criterios!A8,1)),ISNUMBER(FIND("04",Criterios!A8,1))),(I19-W19+K19)/(F19-K19),(H19-W19+K19)/(F19-K19))</f>
        <v>-1.5592105263157894</v>
      </c>
      <c r="AR19" s="889">
        <f>IF(ISNUMBER((Datos!P19-Datos!Q19)/(Datos!R19-Datos!P19+Datos!Q19)),(Datos!P19-Datos!Q19)/(Datos!R19-Datos!P19+Datos!Q19)," - ")</f>
        <v>-3.3061754634549534E-3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500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2.8284271247461903</v>
      </c>
      <c r="F21" s="252">
        <f>IF(ISNUMBER(STDEV(F8:F18)),STDEV(F8:F18),"-")</f>
        <v>793.26363839520593</v>
      </c>
      <c r="G21" s="253">
        <f>IF(ISNUMBER(STDEV(G8:G18)),STDEV(G8:G18),"-")</f>
        <v>599.29692140040231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1195.5184649347746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277.89309352441887</v>
      </c>
      <c r="AJ21" s="252">
        <f t="shared" si="18"/>
        <v>0</v>
      </c>
      <c r="AK21" s="254">
        <f t="shared" si="18"/>
        <v>0</v>
      </c>
      <c r="AL21" s="249">
        <f t="shared" si="18"/>
        <v>0.14785024854556475</v>
      </c>
      <c r="AM21" s="250">
        <f t="shared" si="18"/>
        <v>3.9884860529143054</v>
      </c>
      <c r="AN21" s="250">
        <f t="shared" si="18"/>
        <v>0.17112262042359022</v>
      </c>
      <c r="AO21" s="251">
        <f t="shared" si="18"/>
        <v>1.4270515486331996</v>
      </c>
      <c r="AP21" s="291" t="str">
        <f t="shared" si="18"/>
        <v>-</v>
      </c>
      <c r="AQ21" s="292">
        <f t="shared" si="18"/>
        <v>0.98183766262158034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I2HHEIgwQ2RpcgV0kQRc6NMXlsW7eNmV8t5HX+e4nsjnf731e8DNlZdoTjG11Qf4dPP5sTJ7IbqtiJxr50jOQ==" saltValue="nLfwIFiYtrSRBoD6okP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TORREJON DE ARDOZ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0.89090909090909087</v>
      </c>
      <c r="I9" s="350">
        <f>IF(ISNUMBER((Tasas!C9-Datos!BE9)/Datos!BE9),(Tasas!C9-Datos!BE9)/Datos!BE9," - ")</f>
        <v>-0.29257418241249006</v>
      </c>
      <c r="J9" s="349">
        <f>IF(ISNUMBER((Tasas!D9-Datos!BF9)/Datos!BF9),(Tasas!D9-Datos!BF9)/Datos!BF9," - ")</f>
        <v>-0.73920034053402528</v>
      </c>
      <c r="K9" s="351">
        <f>IF(ISNUMBER((Tasas!E9-Datos!BG9)/Datos!BG9),(Tasas!E9-Datos!BG9)/Datos!BG9," - ")</f>
        <v>-0.2218925315773827</v>
      </c>
      <c r="M9" t="e">
        <f>IF(Monitorios="SI",Datos!CE9,0)</f>
        <v>#REF!</v>
      </c>
      <c r="N9" t="e">
        <f>IF(Monitorios="SI",Datos!CF9,0)</f>
        <v>#REF!</v>
      </c>
      <c r="O9" t="e">
        <f>IF(Monitorios="SI",Datos!CG9,0)</f>
        <v>#REF!</v>
      </c>
      <c r="P9" t="e">
        <f>IF(Monitorios="SI",Datos!CH9,0)</f>
        <v>#REF!</v>
      </c>
      <c r="Q9">
        <f>IF(J_V="SI",0,Datos!AG9)</f>
        <v>268</v>
      </c>
      <c r="R9">
        <f>IF(J_V="SI",0,Datos!AH9)</f>
        <v>250</v>
      </c>
      <c r="S9">
        <f>IF(J_V="SI",0,Datos!AI9)</f>
        <v>258</v>
      </c>
      <c r="T9">
        <f>IF(J_V="SI",0,Datos!AJ9)</f>
        <v>260</v>
      </c>
    </row>
    <row r="10" spans="2:20" ht="14.25">
      <c r="B10" s="275" t="s">
        <v>246</v>
      </c>
      <c r="C10" s="7" t="str">
        <f>Datos!A10</f>
        <v>Jdos. Violencia contra la mujer</v>
      </c>
      <c r="D10" s="352">
        <f>IF(ISNUMBER((Datos!I10-Datos!S10)/Datos!S10),(Datos!I10-Datos!S10)/Datos!S10," - ")</f>
        <v>5.6000000000000001E-2</v>
      </c>
      <c r="E10" s="348">
        <f>IF(ISNUMBER((Datos!J10-Datos!T10)/Datos!T10),(Datos!J10-Datos!T10)/Datos!T10," - ")</f>
        <v>0.25</v>
      </c>
      <c r="F10" s="348">
        <f>IF(ISNUMBER((Datos!K10-Datos!U10)/Datos!U10),(Datos!K10-Datos!U10)/Datos!U10," - ")</f>
        <v>0.12121212121212122</v>
      </c>
      <c r="G10" s="349">
        <f>IF(ISNUMBER((Datos!L10-Datos!V10)/Datos!V10),(Datos!L10-Datos!V10)/Datos!V10," - ")</f>
        <v>9.8484848484848481E-2</v>
      </c>
      <c r="H10" s="230">
        <f>IF(ISNUMBER((Datos!M10-Datos!W10)/Datos!W10),(Datos!M10-Datos!W10)/Datos!W10," - ")</f>
        <v>3</v>
      </c>
      <c r="I10" s="350">
        <f>IF(ISNUMBER((Tasas!C10-Datos!BE10)/Datos!BE10),(Tasas!C10-Datos!BE10)/Datos!BE10," - ")</f>
        <v>-2.0270270270270285E-2</v>
      </c>
      <c r="J10" s="349">
        <f>IF(ISNUMBER((Tasas!D10-Datos!BF10)/Datos!BF10),(Tasas!D10-Datos!BF10)/Datos!BF10," - ")</f>
        <v>2.567567567567568</v>
      </c>
      <c r="K10" s="351">
        <f>IF(ISNUMBER((Tasas!E10-Datos!BG10)/Datos!BG10),(Tasas!E10-Datos!BG10)/Datos!BG10," - ")</f>
        <v>-1.6216216216216141E-2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0.92238805970149251</v>
      </c>
      <c r="I13" s="357">
        <f>IF(ISNUMBER((Tasas!C13-Datos!BE13)/Datos!BE13),(Tasas!C13-Datos!BE13)/Datos!BE13," - ")</f>
        <v>-0.29017908710721102</v>
      </c>
      <c r="J13" s="355">
        <f>IF(ISNUMBER((Tasas!D13-Datos!BF13)/Datos!BF13),(Tasas!D13-Datos!BF13)/Datos!BF13," - ")</f>
        <v>-0.73049368531076053</v>
      </c>
      <c r="K13" s="358">
        <f>IF(ISNUMBER((Tasas!E13-Datos!BG13)/Datos!BG13),(Tasas!E13-Datos!BG13)/Datos!BG13," - ")</f>
        <v>-0.22027607733925197</v>
      </c>
      <c r="M13" t="e">
        <f>IF(Monitorios="SI",Datos!CE13,0)</f>
        <v>#REF!</v>
      </c>
      <c r="N13" t="e">
        <f>IF(Monitorios="SI",Datos!CF13,0)</f>
        <v>#REF!</v>
      </c>
      <c r="O13" t="e">
        <f>IF(Monitorios="SI",Datos!CG13,0)</f>
        <v>#REF!</v>
      </c>
      <c r="P13" t="e">
        <f>IF(Monitorios="SI",Datos!CH13,0)</f>
        <v>#REF!</v>
      </c>
      <c r="Q13">
        <f>IF(J_V="SI",0,Datos!AG13)</f>
        <v>268</v>
      </c>
      <c r="R13">
        <f>IF(J_V="SI",0,Datos!AH13)</f>
        <v>250</v>
      </c>
      <c r="S13">
        <f>IF(J_V="SI",0,Datos!AI13)</f>
        <v>258</v>
      </c>
      <c r="T13">
        <f>IF(J_V="SI",0,Datos!AJ13)</f>
        <v>260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0.11302681992337164</v>
      </c>
      <c r="E15" s="348">
        <f>IF(ISNUMBER(
   IF(D_I="SI",(Datos!J15-Datos!T15)/Datos!T15,(Datos!J15+Datos!AD15-(Datos!T15+Datos!AL15))/(Datos!T15+Datos!AL15))
     ),IF(D_I="SI",(Datos!J15-Datos!T15)/Datos!T15,(Datos!J15+Datos!AD15-(Datos!T15+Datos!AL15))/(Datos!T15+Datos!AL15))," - ")</f>
        <v>2.7764247442766683E-2</v>
      </c>
      <c r="F15" s="348">
        <f>IF(ISNUMBER(
   IF(D_I="SI",(Datos!K15-Datos!U15)/Datos!U15,(Datos!K15+Datos!AE15-(Datos!U15+Datos!AM15))/(Datos!U15+Datos!AM15))
     ),IF(D_I="SI",(Datos!K15-Datos!U15)/Datos!U15,(Datos!K15+Datos!AE15-(Datos!U15+Datos!AM15))/(Datos!U15+Datos!AM15))," - ")</f>
        <v>8.7487781036168139E-2</v>
      </c>
      <c r="G15" s="349">
        <f>IF(ISNUMBER(
   IF(D_I="SI",(Datos!L15-Datos!V15)/Datos!V15,(Datos!L15+Datos!AF15-(Datos!V15+Datos!AN15))/(Datos!V15+Datos!AN15))
     ),IF(D_I="SI",(Datos!L15-Datos!V15)/Datos!V15,(Datos!L15+Datos!AF15-(Datos!V15+Datos!AN15))/(Datos!V15+Datos!AN15))," - ")</f>
        <v>0.25843694493783304</v>
      </c>
      <c r="H15" s="230">
        <f>IF(ISNUMBER((Datos!M15-Datos!W15)/Datos!W15),(Datos!M15-Datos!W15)/Datos!W15," - ")</f>
        <v>0.27192982456140352</v>
      </c>
      <c r="I15" s="350">
        <f>IF(ISNUMBER((Tasas!C15-Datos!BE15)/Datos!BE15),(Tasas!C15-Datos!BE15)/Datos!BE15," - ")</f>
        <v>0.15719639970463226</v>
      </c>
      <c r="J15" s="349">
        <f>IF(ISNUMBER((Tasas!D15-Datos!BF15)/Datos!BF15),(Tasas!D15-Datos!BF15)/Datos!BF15," - ")</f>
        <v>0.16960378474275581</v>
      </c>
      <c r="K15" s="351">
        <f>IF(ISNUMBER((Tasas!E15-Datos!BG15)/Datos!BG15),(Tasas!E15-Datos!BG15)/Datos!BG15," - ")</f>
        <v>-2.848904158790859E-2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-0.19838056680161945</v>
      </c>
      <c r="E17" s="348">
        <f>IF(ISNUMBER(
   IF(D_I="SI",(Datos!J17-Datos!T17)/Datos!T17,(Datos!J17+Datos!AD17-(Datos!T17+Datos!AL17))/(Datos!T17+Datos!AL17))
     ),IF(D_I="SI",(Datos!J17-Datos!T17)/Datos!T17,(Datos!J17+Datos!AD17-(Datos!T17+Datos!AL17))/(Datos!T17+Datos!AL17))," - ")</f>
        <v>-3.3112582781456956E-2</v>
      </c>
      <c r="F17" s="348">
        <f>IF(ISNUMBER(
   IF(D_I="SI",(Datos!K17-Datos!U17)/Datos!U17,(Datos!K17+Datos!AE17-(Datos!U17+Datos!AM17))/(Datos!U17+Datos!AM17))
     ),IF(D_I="SI",(Datos!K17-Datos!U17)/Datos!U17,(Datos!K17+Datos!AE17-(Datos!U17+Datos!AM17))/(Datos!U17+Datos!AM17))," - ")</f>
        <v>-3.3613445378151259E-2</v>
      </c>
      <c r="G17" s="349">
        <f>IF(ISNUMBER(
   IF(D_I="SI",(Datos!L17-Datos!V17)/Datos!V17,(Datos!L17+Datos!AF17-(Datos!V17+Datos!AN17))/(Datos!V17+Datos!AN17))
     ),IF(D_I="SI",(Datos!L17-Datos!V17)/Datos!V17,(Datos!L17+Datos!AF17-(Datos!V17+Datos!AN17))/(Datos!V17+Datos!AN17))," - ")</f>
        <v>0.18974358974358974</v>
      </c>
      <c r="H17" s="230">
        <f>IF(ISNUMBER((Datos!M17-Datos!W17)/Datos!W17),(Datos!M17-Datos!W17)/Datos!W17," - ")</f>
        <v>0.14285714285714285</v>
      </c>
      <c r="I17" s="350">
        <f>IF(ISNUMBER((Tasas!C17-Datos!BE17)/Datos!BE17),(Tasas!C17-Datos!BE17)/Datos!BE17," - ")</f>
        <v>0.23112597547380162</v>
      </c>
      <c r="J17" s="349">
        <f>IF(ISNUMBER((Tasas!D17-Datos!BF17)/Datos!BF17),(Tasas!D17-Datos!BF17)/Datos!BF17," - ")</f>
        <v>0.18260869565217394</v>
      </c>
      <c r="K17" s="351">
        <f>IF(ISNUMBER((Tasas!E17-Datos!BG17)/Datos!BG17),(Tasas!E17-Datos!BG17)/Datos!BG17," - ")</f>
        <v>-7.6423536865447048E-2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5.3117782909930716E-2</v>
      </c>
      <c r="E18" s="354">
        <f>IF(ISNUMBER(
   IF(D_I="SI",(Datos!J18-Datos!T18)/Datos!T18,(Datos!J18+Datos!AD18-(Datos!T18+Datos!AL18))/(Datos!T18+Datos!AL18))
     ),IF(D_I="SI",(Datos!J18-Datos!T18)/Datos!T18,(Datos!J18+Datos!AD18-(Datos!T18+Datos!AL18))/(Datos!T18+Datos!AL18))," - ")</f>
        <v>1.9957537154989383E-2</v>
      </c>
      <c r="F18" s="354">
        <f>IF(ISNUMBER(
   IF(D_I="SI",(Datos!K18-Datos!U18)/Datos!U18,(Datos!K18+Datos!AE18-(Datos!U18+Datos!AM18))/(Datos!U18+Datos!AM18))
     ),IF(D_I="SI",(Datos!K18-Datos!U18)/Datos!U18,(Datos!K18+Datos!AE18-(Datos!U18+Datos!AM18))/(Datos!U18+Datos!AM18))," - ")</f>
        <v>6.9496462754889715E-2</v>
      </c>
      <c r="G18" s="355">
        <f>IF(ISNUMBER(
   IF(D_I="SI",(Datos!L18-Datos!V18)/Datos!V18,(Datos!L18+Datos!AF18-(Datos!V18+Datos!AN18))/(Datos!V18+Datos!AN18))
     ),IF(D_I="SI",(Datos!L18-Datos!V18)/Datos!V18,(Datos!L18+Datos!AF18-(Datos!V18+Datos!AN18))/(Datos!V18+Datos!AN18))," - ")</f>
        <v>0.24680210684725357</v>
      </c>
      <c r="H18" s="356">
        <f>IF(ISNUMBER((Datos!M18-Datos!W18)/Datos!W18),(Datos!M18-Datos!W18)/Datos!W18," - ")</f>
        <v>0.26104417670682734</v>
      </c>
      <c r="I18" s="357">
        <f>IF(ISNUMBER((Tasas!C18-Datos!BE18)/Datos!BE18),(Tasas!C18-Datos!BE18)/Datos!BE18," - ")</f>
        <v>0.16578422675250989</v>
      </c>
      <c r="J18" s="355">
        <f>IF(ISNUMBER((Tasas!D18-Datos!BF18)/Datos!BF18),(Tasas!D18-Datos!BF18)/Datos!BF18," - ")</f>
        <v>0.17910083915428243</v>
      </c>
      <c r="K18" s="358">
        <f>IF(ISNUMBER((Tasas!E18-Datos!BG18)/Datos!BG18),(Tasas!E18-Datos!BG18)/Datos!BG18," - ")</f>
        <v>-3.5297387437465286E-2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0.28325645181398829</v>
      </c>
      <c r="E19" s="363">
        <f>IF(ISNUMBER(
   IF(J_V="SI",(Datos!J19-Datos!T19)/Datos!T19,(Datos!J19+Datos!Z19-(Datos!T19+Datos!AH19))/(Datos!T19+Datos!AH19))
     ),IF(J_V="SI",(Datos!J19-Datos!T19)/Datos!T19,(Datos!J19+Datos!Z19-(Datos!T19+Datos!AH19))/(Datos!T19+Datos!AH19))," - ")</f>
        <v>0.15711854792966534</v>
      </c>
      <c r="F19" s="363">
        <f>IF(ISNUMBER(
   IF(J_V="SI",(Datos!K19-Datos!U19)/Datos!U19,(Datos!K19+Datos!AA19-(Datos!U19+Datos!AI19))/(Datos!U19+Datos!AI19))
     ),IF(J_V="SI",(Datos!K19-Datos!U19)/Datos!U19,(Datos!K19+Datos!AA19-(Datos!U19+Datos!AI19))/(Datos!U19+Datos!AI19))," - ")</f>
        <v>0.36815286624203819</v>
      </c>
      <c r="G19" s="364">
        <f>IF(ISNUMBER(
   IF(J_V="SI",(Datos!L19-Datos!V19)/Datos!V19,(Datos!L19+Datos!AB19-(Datos!V19+Datos!AJ19))/(Datos!V19+Datos!AJ19))
     ),IF(J_V="SI",(Datos!L19-Datos!V19)/Datos!V19,(Datos!L19+Datos!AB19-(Datos!V19+Datos!AJ19))/(Datos!V19+Datos!AJ19))," - ")</f>
        <v>0.20034522439585731</v>
      </c>
      <c r="H19" s="365">
        <f>IF(ISNUMBER((Datos!M19-Datos!W19)/Datos!W19),(Datos!M19-Datos!W19)/Datos!W19," - ")</f>
        <v>0.6404109589041096</v>
      </c>
      <c r="I19" s="362">
        <f>IF(ISNUMBER((Tasas!C19-Datos!BE19)/Datos!BE19),(Tasas!C19-Datos!BE19)/Datos!BE19," - ")</f>
        <v>-0.12265269911475983</v>
      </c>
      <c r="J19" s="363">
        <f>IF(ISNUMBER((Tasas!D19-Datos!BF19)/Datos!BF19),(Tasas!D19-Datos!BF19)/Datos!BF19," - ")</f>
        <v>-0.5812116311601756</v>
      </c>
      <c r="K19" s="364">
        <f>IF(ISNUMBER((Tasas!E19-Datos!BG19)/Datos!BG19),(Tasas!E19-Datos!BG19)/Datos!BG19," - ")</f>
        <v>-9.8687717472056624E-2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0.12038943504943196</v>
      </c>
      <c r="E21" s="278">
        <f t="shared" si="1"/>
        <v>0.12551373423169018</v>
      </c>
      <c r="F21" s="278">
        <f t="shared" si="1"/>
        <v>6.671059651442314E-2</v>
      </c>
      <c r="G21" s="279">
        <f t="shared" si="1"/>
        <v>0.10895491973889748</v>
      </c>
      <c r="H21" s="285">
        <f t="shared" si="1"/>
        <v>1.0756636918550688</v>
      </c>
      <c r="I21" s="277">
        <f t="shared" si="1"/>
        <v>0.23470405279388182</v>
      </c>
      <c r="J21" s="278">
        <f t="shared" si="1"/>
        <v>1.210310282561605</v>
      </c>
      <c r="K21" s="279">
        <f t="shared" si="1"/>
        <v>9.6124515308960129E-2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g4AmfTPtxUugYFenhKuTu7A4FqtZxr0ool8sFMpmZAO/EFJjKSn0vS8UNcxbcLK56r3KZ6Vq98pioevfttZ7A==" saltValue="Es1B+7EoFPAqbhNRinsM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